
<file path=[Content_Types].xml><?xml version="1.0" encoding="utf-8"?>
<Types xmlns="http://schemas.openxmlformats.org/package/2006/content-types">
  <Default Extension="xml" ContentType="application/xml"/>
  <Default Extension="rels" ContentType="application/vnd.openxmlformats-package.relationships+xml"/>
  <Default Extension="bin" ContentType="application/vnd.openxmlformats-officedocument.spreadsheetml.printerSettings"/>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4" Type="http://schemas.openxmlformats.org/officeDocument/2006/relationships/custom-properties" Target="docProps/custom.xml"/><Relationship Id="rId1" Type="http://schemas.openxmlformats.org/officeDocument/2006/relationships/officeDocument" Target="xl/workbook.xml"/><Relationship Id="rId2" Type="http://schemas.openxmlformats.org/package/2006/relationships/metadata/core-properties" Target="docProps/core.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28016"/>
  <workbookPr codeName="ThisWorkbook"/>
  <mc:AlternateContent xmlns:mc="http://schemas.openxmlformats.org/markup-compatibility/2006">
    <mc:Choice Requires="x15">
      <x15ac:absPath xmlns:x15ac="http://schemas.microsoft.com/office/spreadsheetml/2010/11/ac" url="/Users/lil/Desktop/"/>
    </mc:Choice>
  </mc:AlternateContent>
  <bookViews>
    <workbookView xWindow="0" yWindow="460" windowWidth="21500" windowHeight="7820" activeTab="1"/>
  </bookViews>
  <sheets>
    <sheet name="Request" sheetId="2" r:id="rId1"/>
    <sheet name="Worksheet" sheetId="5" r:id="rId2"/>
    <sheet name="DropDown" sheetId="3" state="hidden" r:id="rId3"/>
    <sheet name="SalaryByMonthWorksheet" sheetId="8" r:id="rId4"/>
    <sheet name="CalculationTools" sheetId="6" r:id="rId5"/>
    <sheet name="Prelim-CostCalculation" sheetId="7" r:id="rId6"/>
  </sheets>
  <externalReferences>
    <externalReference r:id="rId7"/>
  </externalReferences>
  <definedNames>
    <definedName name="APU_Codes">[1]Lookups!$BF$2:$BF$102</definedName>
    <definedName name="Cap_Gap">[1]Lookups!$E$2:$E$21</definedName>
    <definedName name="Contract_Grant">[1]Lookups!$AD$10:$AD$21</definedName>
    <definedName name="Department_Clinical">[1]Lookups!$AD$22:$AD$44</definedName>
    <definedName name="DeptList">[1]Lookups!$M$2:$N$18</definedName>
    <definedName name="DeptNames">[1]Lookups!$M$2:$M$18</definedName>
    <definedName name="FTE">[1]Lookups!$AD$2:$AD$9</definedName>
    <definedName name="_xlnm.Print_Area" localSheetId="4">CalculationTools!$A$1:$B$54</definedName>
    <definedName name="_xlnm.Print_Area" localSheetId="1">Worksheet!$A$1:$O$156</definedName>
    <definedName name="Rank">[1]Lookups!$AF$26:$AF$28</definedName>
    <definedName name="Series">[1]Lookups!$BB$2:$BB$6</definedName>
    <definedName name="Steps">[1]Lookups!$AX$2:$AZ$26</definedName>
    <definedName name="UHC_Specialty">[1]Lookups!$BJ$2:$BJ$119</definedName>
    <definedName name="VA_Rank">[1]Lookups!$BM$2:$BM$167</definedName>
    <definedName name="Z_Type">[1]Lookups!$BR$2:$BR$19</definedName>
  </definedNames>
  <calcPr calcId="152511" concurrentCalc="0"/>
  <extLst>
    <ext xmlns:x14="http://schemas.microsoft.com/office/spreadsheetml/2009/9/main" uri="{79F54976-1DA5-4618-B147-4CDE4B953A38}">
      <x14:workbookPr defaultImageDpi="32767"/>
    </ext>
    <ext xmlns:mx="http://schemas.microsoft.com/office/mac/excel/2008/main" uri="{7523E5D3-25F3-A5E0-1632-64F254C22452}">
      <mx:ArchID Flags="2"/>
    </ext>
  </extLst>
</workbook>
</file>

<file path=xl/calcChain.xml><?xml version="1.0" encoding="utf-8"?>
<calcChain xmlns="http://schemas.openxmlformats.org/spreadsheetml/2006/main">
  <c r="R33" i="5" l="1"/>
  <c r="R34" i="5"/>
  <c r="R35" i="5"/>
  <c r="R36" i="5"/>
  <c r="R37" i="5"/>
  <c r="R38" i="5"/>
  <c r="R32" i="5"/>
  <c r="R78" i="5"/>
  <c r="R79" i="5"/>
  <c r="R80" i="5"/>
  <c r="R81" i="5"/>
  <c r="R82" i="5"/>
  <c r="R83" i="5"/>
  <c r="R84" i="5"/>
  <c r="R85" i="5"/>
  <c r="R86" i="5"/>
  <c r="R87" i="5"/>
  <c r="R88" i="5"/>
  <c r="R89" i="5"/>
  <c r="R90" i="5"/>
  <c r="R77" i="5"/>
  <c r="R57" i="5"/>
  <c r="R56" i="5"/>
  <c r="R55" i="5"/>
  <c r="R54" i="5"/>
  <c r="R53" i="5"/>
  <c r="R52" i="5"/>
  <c r="R51" i="5"/>
  <c r="AD68" i="5"/>
  <c r="AC68" i="5"/>
  <c r="D26" i="2"/>
  <c r="F8" i="7"/>
  <c r="F7" i="7"/>
  <c r="F25" i="6"/>
  <c r="G25" i="6"/>
  <c r="G26" i="6"/>
  <c r="F26" i="6"/>
  <c r="J14" i="2"/>
  <c r="G24" i="6"/>
  <c r="F24" i="6"/>
  <c r="AC67" i="5"/>
  <c r="AD67" i="5"/>
  <c r="P47" i="8"/>
  <c r="O47" i="8"/>
  <c r="N47" i="8"/>
  <c r="M47" i="8"/>
  <c r="L47" i="8"/>
  <c r="K47" i="8"/>
  <c r="J47" i="8"/>
  <c r="I47" i="8"/>
  <c r="H47" i="8"/>
  <c r="P46" i="8"/>
  <c r="O46" i="8"/>
  <c r="N46" i="8"/>
  <c r="M46" i="8"/>
  <c r="L46" i="8"/>
  <c r="K46" i="8"/>
  <c r="J46" i="8"/>
  <c r="I46" i="8"/>
  <c r="H46" i="8"/>
  <c r="P45" i="8"/>
  <c r="O45" i="8"/>
  <c r="N45" i="8"/>
  <c r="M45" i="8"/>
  <c r="L45" i="8"/>
  <c r="K45" i="8"/>
  <c r="J45" i="8"/>
  <c r="I45" i="8"/>
  <c r="H45" i="8"/>
  <c r="P44" i="8"/>
  <c r="O44" i="8"/>
  <c r="N44" i="8"/>
  <c r="M44" i="8"/>
  <c r="L44" i="8"/>
  <c r="K44" i="8"/>
  <c r="J44" i="8"/>
  <c r="I44" i="8"/>
  <c r="H44" i="8"/>
  <c r="P43" i="8"/>
  <c r="O43" i="8"/>
  <c r="N43" i="8"/>
  <c r="M43" i="8"/>
  <c r="L43" i="8"/>
  <c r="K43" i="8"/>
  <c r="J43" i="8"/>
  <c r="I43" i="8"/>
  <c r="H43" i="8"/>
  <c r="P42" i="8"/>
  <c r="O42" i="8"/>
  <c r="N42" i="8"/>
  <c r="M42" i="8"/>
  <c r="L42" i="8"/>
  <c r="K42" i="8"/>
  <c r="J42" i="8"/>
  <c r="I42" i="8"/>
  <c r="H42" i="8"/>
  <c r="P41" i="8"/>
  <c r="O41" i="8"/>
  <c r="N41" i="8"/>
  <c r="M41" i="8"/>
  <c r="L41" i="8"/>
  <c r="K41" i="8"/>
  <c r="J41" i="8"/>
  <c r="I41" i="8"/>
  <c r="H41" i="8"/>
  <c r="P40" i="8"/>
  <c r="O40" i="8"/>
  <c r="N40" i="8"/>
  <c r="M40" i="8"/>
  <c r="L40" i="8"/>
  <c r="K40" i="8"/>
  <c r="J40" i="8"/>
  <c r="I40" i="8"/>
  <c r="H40" i="8"/>
  <c r="P39" i="8"/>
  <c r="O39" i="8"/>
  <c r="N39" i="8"/>
  <c r="M39" i="8"/>
  <c r="T27" i="8"/>
  <c r="S27" i="8"/>
  <c r="R27" i="8"/>
  <c r="Q27" i="8"/>
  <c r="P27" i="8"/>
  <c r="O27" i="8"/>
  <c r="N27" i="8"/>
  <c r="M27" i="8"/>
  <c r="L27" i="8"/>
  <c r="K27" i="8"/>
  <c r="J27" i="8"/>
  <c r="I27" i="8"/>
  <c r="H27" i="8"/>
  <c r="T26" i="8"/>
  <c r="S26" i="8"/>
  <c r="R26" i="8"/>
  <c r="Q26" i="8"/>
  <c r="P26" i="8"/>
  <c r="O26" i="8"/>
  <c r="N26" i="8"/>
  <c r="M26" i="8"/>
  <c r="L26" i="8"/>
  <c r="K26" i="8"/>
  <c r="J26" i="8"/>
  <c r="I26" i="8"/>
  <c r="H26" i="8"/>
  <c r="T25" i="8"/>
  <c r="S25" i="8"/>
  <c r="R25" i="8"/>
  <c r="Q25" i="8"/>
  <c r="P25" i="8"/>
  <c r="O25" i="8"/>
  <c r="N25" i="8"/>
  <c r="M25" i="8"/>
  <c r="L25" i="8"/>
  <c r="K25" i="8"/>
  <c r="J25" i="8"/>
  <c r="I25" i="8"/>
  <c r="H25" i="8"/>
  <c r="T24" i="8"/>
  <c r="S24" i="8"/>
  <c r="R24" i="8"/>
  <c r="Q24" i="8"/>
  <c r="P24" i="8"/>
  <c r="O24" i="8"/>
  <c r="N24" i="8"/>
  <c r="M24" i="8"/>
  <c r="L24" i="8"/>
  <c r="K24" i="8"/>
  <c r="J24" i="8"/>
  <c r="I24" i="8"/>
  <c r="H24" i="8"/>
  <c r="T23" i="8"/>
  <c r="S23" i="8"/>
  <c r="R23" i="8"/>
  <c r="Q23" i="8"/>
  <c r="P23" i="8"/>
  <c r="O23" i="8"/>
  <c r="N23" i="8"/>
  <c r="M23" i="8"/>
  <c r="L23" i="8"/>
  <c r="K23" i="8"/>
  <c r="J23" i="8"/>
  <c r="I23" i="8"/>
  <c r="H23" i="8"/>
  <c r="T22" i="8"/>
  <c r="S22" i="8"/>
  <c r="R22" i="8"/>
  <c r="Q22" i="8"/>
  <c r="P22" i="8"/>
  <c r="O22" i="8"/>
  <c r="N22" i="8"/>
  <c r="M22" i="8"/>
  <c r="L22" i="8"/>
  <c r="K22" i="8"/>
  <c r="J22" i="8"/>
  <c r="I22" i="8"/>
  <c r="H22" i="8"/>
  <c r="T21" i="8"/>
  <c r="S21" i="8"/>
  <c r="R21" i="8"/>
  <c r="Q21" i="8"/>
  <c r="P21" i="8"/>
  <c r="O21" i="8"/>
  <c r="N21" i="8"/>
  <c r="M21" i="8"/>
  <c r="L21" i="8"/>
  <c r="K21" i="8"/>
  <c r="J21" i="8"/>
  <c r="I21" i="8"/>
  <c r="H21" i="8"/>
  <c r="T20" i="8"/>
  <c r="S20" i="8"/>
  <c r="R20" i="8"/>
  <c r="Q20" i="8"/>
  <c r="P20" i="8"/>
  <c r="O20" i="8"/>
  <c r="N20" i="8"/>
  <c r="M20" i="8"/>
  <c r="L20" i="8"/>
  <c r="K20" i="8"/>
  <c r="J20" i="8"/>
  <c r="I20" i="8"/>
  <c r="M33" i="8"/>
  <c r="N33" i="8"/>
  <c r="O33" i="8"/>
  <c r="P33" i="8"/>
  <c r="Q33" i="8"/>
  <c r="R33" i="8"/>
  <c r="S33" i="8"/>
  <c r="T33" i="8"/>
  <c r="J34" i="8"/>
  <c r="K34" i="8"/>
  <c r="L34" i="8"/>
  <c r="Q34" i="8"/>
  <c r="R34" i="8"/>
  <c r="S34" i="8"/>
  <c r="T34" i="8"/>
  <c r="J35" i="8"/>
  <c r="K35" i="8"/>
  <c r="L35" i="8"/>
  <c r="Q35" i="8"/>
  <c r="R35" i="8"/>
  <c r="S35" i="8"/>
  <c r="T35" i="8"/>
  <c r="J36" i="8"/>
  <c r="K36" i="8"/>
  <c r="L36" i="8"/>
  <c r="M36" i="8"/>
  <c r="N36" i="8"/>
  <c r="O36" i="8"/>
  <c r="P36" i="8"/>
  <c r="J37" i="8"/>
  <c r="K37" i="8"/>
  <c r="L37" i="8"/>
  <c r="M37" i="8"/>
  <c r="N37" i="8"/>
  <c r="O37" i="8"/>
  <c r="P37" i="8"/>
  <c r="J38" i="8"/>
  <c r="K38" i="8"/>
  <c r="L38" i="8"/>
  <c r="M38" i="8"/>
  <c r="N38" i="8"/>
  <c r="O38" i="8"/>
  <c r="P38" i="8"/>
  <c r="I34" i="8"/>
  <c r="I35" i="8"/>
  <c r="I36" i="8"/>
  <c r="I37" i="8"/>
  <c r="I38" i="8"/>
  <c r="B65" i="8"/>
  <c r="B67" i="8"/>
  <c r="M13" i="8"/>
  <c r="N13" i="8"/>
  <c r="O13" i="8"/>
  <c r="P13" i="8"/>
  <c r="Q13" i="8"/>
  <c r="R13" i="8"/>
  <c r="S13" i="8"/>
  <c r="T13" i="8"/>
  <c r="J14" i="8"/>
  <c r="K14" i="8"/>
  <c r="L14" i="8"/>
  <c r="J17" i="8"/>
  <c r="K17" i="8"/>
  <c r="L17" i="8"/>
  <c r="M17" i="8"/>
  <c r="N17" i="8"/>
  <c r="O17" i="8"/>
  <c r="P17" i="8"/>
  <c r="Q17" i="8"/>
  <c r="R17" i="8"/>
  <c r="S17" i="8"/>
  <c r="T17" i="8"/>
  <c r="J18" i="8"/>
  <c r="K18" i="8"/>
  <c r="L18" i="8"/>
  <c r="J19" i="8"/>
  <c r="K19" i="8"/>
  <c r="L19" i="8"/>
  <c r="I14" i="8"/>
  <c r="I17" i="8"/>
  <c r="I18" i="8"/>
  <c r="I19" i="8"/>
  <c r="E7" i="8"/>
  <c r="E6" i="8"/>
  <c r="H15" i="6"/>
  <c r="H9" i="6"/>
  <c r="H11" i="6"/>
  <c r="G23" i="6"/>
  <c r="F23" i="6"/>
  <c r="R109" i="5"/>
  <c r="R110" i="5"/>
  <c r="R111" i="5"/>
  <c r="R112" i="5"/>
  <c r="R113" i="5"/>
  <c r="R114" i="5"/>
  <c r="R115" i="5"/>
  <c r="R116" i="5"/>
  <c r="R117" i="5"/>
  <c r="R108" i="5"/>
  <c r="U21" i="8"/>
  <c r="U26" i="8"/>
  <c r="U24" i="8"/>
  <c r="U23" i="8"/>
  <c r="U25" i="8"/>
  <c r="U22" i="8"/>
  <c r="U20" i="8"/>
  <c r="U27" i="8"/>
  <c r="N12" i="5"/>
  <c r="L12" i="5"/>
  <c r="I12" i="5"/>
  <c r="G12" i="5"/>
  <c r="F12" i="5"/>
  <c r="E12" i="5"/>
  <c r="D12" i="5"/>
  <c r="B12" i="5"/>
  <c r="O11" i="2"/>
  <c r="L11" i="2"/>
  <c r="Q11" i="2"/>
  <c r="M12" i="5"/>
  <c r="K7" i="5"/>
  <c r="B7" i="5"/>
  <c r="O1" i="5"/>
  <c r="K5" i="5"/>
  <c r="B5" i="5"/>
  <c r="G17" i="5"/>
  <c r="R36" i="8"/>
  <c r="S36" i="8"/>
  <c r="T36" i="8"/>
  <c r="Q36" i="8"/>
  <c r="M34" i="8"/>
  <c r="N34" i="8"/>
  <c r="O34" i="8"/>
  <c r="P34" i="8"/>
  <c r="M14" i="2"/>
  <c r="N11" i="2"/>
  <c r="S11" i="2"/>
  <c r="U36" i="8"/>
  <c r="U34" i="8"/>
  <c r="B6" i="8"/>
  <c r="B3" i="8"/>
  <c r="R18" i="8"/>
  <c r="Q18" i="8"/>
  <c r="S18" i="8"/>
  <c r="T18" i="8"/>
  <c r="O18" i="8"/>
  <c r="P18" i="8"/>
  <c r="M18" i="8"/>
  <c r="N18" i="8"/>
  <c r="L50" i="8"/>
  <c r="T50" i="8"/>
  <c r="O50" i="8"/>
  <c r="M50" i="8"/>
  <c r="I50" i="8"/>
  <c r="N50" i="8"/>
  <c r="P50" i="8"/>
  <c r="Q50" i="8"/>
  <c r="J50" i="8"/>
  <c r="R50" i="8"/>
  <c r="K50" i="8"/>
  <c r="S50" i="8"/>
  <c r="AD66" i="5"/>
  <c r="AD65" i="5"/>
  <c r="AC66" i="5"/>
  <c r="AC65" i="5"/>
  <c r="U18" i="8"/>
  <c r="U50" i="8"/>
  <c r="N14" i="5"/>
  <c r="I14" i="5"/>
  <c r="AE14" i="5"/>
  <c r="B9" i="8"/>
  <c r="J108" i="5"/>
  <c r="P108" i="5"/>
  <c r="Q108" i="5"/>
  <c r="J109" i="5"/>
  <c r="P109" i="5"/>
  <c r="Q109" i="5"/>
  <c r="J110" i="5"/>
  <c r="P110" i="5"/>
  <c r="Q110" i="5"/>
  <c r="J111" i="5"/>
  <c r="P111" i="5"/>
  <c r="Q111" i="5"/>
  <c r="J112" i="5"/>
  <c r="P112" i="5"/>
  <c r="Q112" i="5"/>
  <c r="C11" i="7"/>
  <c r="C19" i="7"/>
  <c r="C17" i="7"/>
  <c r="C16" i="7"/>
  <c r="B23" i="7"/>
  <c r="B26" i="7"/>
  <c r="B25" i="7"/>
  <c r="B28" i="7"/>
  <c r="B24" i="7"/>
  <c r="B27" i="7"/>
  <c r="B33" i="7"/>
  <c r="B29" i="7"/>
  <c r="B30" i="7"/>
  <c r="B31" i="7"/>
  <c r="J32" i="5"/>
  <c r="P32" i="5"/>
  <c r="L118" i="5"/>
  <c r="J118" i="5"/>
  <c r="P118" i="5"/>
  <c r="Q118" i="5"/>
  <c r="L117" i="5"/>
  <c r="J117" i="5"/>
  <c r="P117" i="5"/>
  <c r="Q117" i="5"/>
  <c r="L116" i="5"/>
  <c r="J116" i="5"/>
  <c r="P116" i="5"/>
  <c r="Q116" i="5"/>
  <c r="L115" i="5"/>
  <c r="J115" i="5"/>
  <c r="P115" i="5"/>
  <c r="Q115" i="5"/>
  <c r="L114" i="5"/>
  <c r="J114" i="5"/>
  <c r="P114" i="5"/>
  <c r="Q114" i="5"/>
  <c r="L88" i="5"/>
  <c r="J88" i="5"/>
  <c r="P88" i="5"/>
  <c r="Q88" i="5"/>
  <c r="L87" i="5"/>
  <c r="J87" i="5"/>
  <c r="P87" i="5"/>
  <c r="Q87" i="5"/>
  <c r="L86" i="5"/>
  <c r="J86" i="5"/>
  <c r="P86" i="5"/>
  <c r="Q86" i="5"/>
  <c r="Q32" i="5"/>
  <c r="O86" i="5"/>
  <c r="W86" i="5"/>
  <c r="O118" i="5"/>
  <c r="W118" i="5"/>
  <c r="O88" i="5"/>
  <c r="W88" i="5"/>
  <c r="O115" i="5"/>
  <c r="W115" i="5"/>
  <c r="O87" i="5"/>
  <c r="W87" i="5"/>
  <c r="O117" i="5"/>
  <c r="O116" i="5"/>
  <c r="O114" i="5"/>
  <c r="B39" i="6"/>
  <c r="B36" i="6"/>
  <c r="B38" i="6"/>
  <c r="B25" i="6"/>
  <c r="B24" i="6"/>
  <c r="B12" i="6"/>
  <c r="B14" i="6"/>
  <c r="U86" i="5"/>
  <c r="U87" i="5"/>
  <c r="U118" i="5"/>
  <c r="U88" i="5"/>
  <c r="U115" i="5"/>
  <c r="W117" i="5"/>
  <c r="U117" i="5"/>
  <c r="W116" i="5"/>
  <c r="U116" i="5"/>
  <c r="W114" i="5"/>
  <c r="U114" i="5"/>
  <c r="AE85" i="5"/>
  <c r="AE82" i="5"/>
  <c r="AE84" i="5"/>
  <c r="AF55" i="5"/>
  <c r="AF56" i="5"/>
  <c r="AE37" i="5"/>
  <c r="AE39" i="5"/>
  <c r="O59" i="5"/>
  <c r="L82" i="5"/>
  <c r="J82" i="5"/>
  <c r="P82" i="5"/>
  <c r="Q82" i="5"/>
  <c r="J81" i="5"/>
  <c r="P81" i="5"/>
  <c r="Q81" i="5"/>
  <c r="L84" i="5"/>
  <c r="J84" i="5"/>
  <c r="P84" i="5"/>
  <c r="Q84" i="5"/>
  <c r="L83" i="5"/>
  <c r="J83" i="5"/>
  <c r="P83" i="5"/>
  <c r="Q83" i="5"/>
  <c r="O140" i="5"/>
  <c r="J138" i="5"/>
  <c r="J137" i="5"/>
  <c r="J136" i="5"/>
  <c r="J135" i="5"/>
  <c r="O135" i="5"/>
  <c r="J134" i="5"/>
  <c r="J133" i="5"/>
  <c r="J132" i="5"/>
  <c r="L113" i="5"/>
  <c r="L119" i="5"/>
  <c r="L120" i="5"/>
  <c r="L38" i="5"/>
  <c r="L37" i="5"/>
  <c r="L36" i="5"/>
  <c r="L35" i="5"/>
  <c r="L57" i="5"/>
  <c r="L56" i="5"/>
  <c r="L55" i="5"/>
  <c r="L54" i="5"/>
  <c r="L53" i="5"/>
  <c r="L90" i="5"/>
  <c r="L89" i="5"/>
  <c r="L85" i="5"/>
  <c r="J120" i="5"/>
  <c r="P120" i="5"/>
  <c r="Q120" i="5"/>
  <c r="J119" i="5"/>
  <c r="P119" i="5"/>
  <c r="Q119" i="5"/>
  <c r="J113" i="5"/>
  <c r="P113" i="5"/>
  <c r="Q113" i="5"/>
  <c r="J90" i="5"/>
  <c r="P90" i="5"/>
  <c r="Q90" i="5"/>
  <c r="J89" i="5"/>
  <c r="P89" i="5"/>
  <c r="Q89" i="5"/>
  <c r="J85" i="5"/>
  <c r="P85" i="5"/>
  <c r="Q85" i="5"/>
  <c r="J79" i="5"/>
  <c r="P79" i="5"/>
  <c r="Q79" i="5"/>
  <c r="J80" i="5"/>
  <c r="P80" i="5"/>
  <c r="Q80" i="5"/>
  <c r="J78" i="5"/>
  <c r="P78" i="5"/>
  <c r="Q78" i="5"/>
  <c r="J77" i="5"/>
  <c r="P77" i="5"/>
  <c r="Q77" i="5"/>
  <c r="J57" i="5"/>
  <c r="P57" i="5"/>
  <c r="Q57" i="5"/>
  <c r="J56" i="5"/>
  <c r="P56" i="5"/>
  <c r="Q56" i="5"/>
  <c r="J55" i="5"/>
  <c r="P55" i="5"/>
  <c r="Q55" i="5"/>
  <c r="J54" i="5"/>
  <c r="P54" i="5"/>
  <c r="Q54" i="5"/>
  <c r="J53" i="5"/>
  <c r="P53" i="5"/>
  <c r="Q53" i="5"/>
  <c r="J52" i="5"/>
  <c r="P52" i="5"/>
  <c r="Q52" i="5"/>
  <c r="J51" i="5"/>
  <c r="P51" i="5"/>
  <c r="J34" i="5"/>
  <c r="P34" i="5"/>
  <c r="Q34" i="5"/>
  <c r="J35" i="5"/>
  <c r="P35" i="5"/>
  <c r="Q35" i="5"/>
  <c r="J36" i="5"/>
  <c r="P36" i="5"/>
  <c r="Q36" i="5"/>
  <c r="J37" i="5"/>
  <c r="P37" i="5"/>
  <c r="Q37" i="5"/>
  <c r="J38" i="5"/>
  <c r="P38" i="5"/>
  <c r="Q38" i="5"/>
  <c r="O92" i="5"/>
  <c r="Q51" i="5"/>
  <c r="Q58" i="5"/>
  <c r="P58" i="5"/>
  <c r="Q91" i="5"/>
  <c r="P91" i="5"/>
  <c r="O83" i="5"/>
  <c r="O84" i="5"/>
  <c r="O82" i="5"/>
  <c r="O85" i="5"/>
  <c r="Q121" i="5"/>
  <c r="O54" i="5"/>
  <c r="O56" i="5"/>
  <c r="O35" i="5"/>
  <c r="O138" i="5"/>
  <c r="W138" i="5"/>
  <c r="O53" i="5"/>
  <c r="O37" i="5"/>
  <c r="O38" i="5"/>
  <c r="O55" i="5"/>
  <c r="O36" i="5"/>
  <c r="O57" i="5"/>
  <c r="O133" i="5"/>
  <c r="O134" i="5"/>
  <c r="U134" i="5"/>
  <c r="O89" i="5"/>
  <c r="O120" i="5"/>
  <c r="O90" i="5"/>
  <c r="O136" i="5"/>
  <c r="U136" i="5"/>
  <c r="O113" i="5"/>
  <c r="O119" i="5"/>
  <c r="O137" i="5"/>
  <c r="U137" i="5"/>
  <c r="U135" i="5"/>
  <c r="W135" i="5"/>
  <c r="J33" i="5"/>
  <c r="P33" i="5"/>
  <c r="O132" i="5"/>
  <c r="Q33" i="5"/>
  <c r="Q39" i="5"/>
  <c r="P39" i="5"/>
  <c r="O66" i="5"/>
  <c r="U138" i="5"/>
  <c r="W134" i="5"/>
  <c r="W136" i="5"/>
  <c r="W137" i="5"/>
  <c r="P121" i="5"/>
  <c r="O126" i="5"/>
  <c r="W89" i="5"/>
  <c r="U89" i="5"/>
  <c r="U53" i="5"/>
  <c r="W53" i="5"/>
  <c r="U132" i="5"/>
  <c r="W132" i="5"/>
  <c r="W35" i="5"/>
  <c r="U35" i="5"/>
  <c r="U83" i="5"/>
  <c r="W83" i="5"/>
  <c r="W84" i="5"/>
  <c r="U84" i="5"/>
  <c r="W133" i="5"/>
  <c r="U133" i="5"/>
  <c r="U119" i="5"/>
  <c r="W119" i="5"/>
  <c r="U82" i="5"/>
  <c r="W82" i="5"/>
  <c r="W90" i="5"/>
  <c r="U90" i="5"/>
  <c r="U57" i="5"/>
  <c r="W57" i="5"/>
  <c r="U55" i="5"/>
  <c r="W55" i="5"/>
  <c r="U113" i="5"/>
  <c r="W113" i="5"/>
  <c r="U36" i="5"/>
  <c r="W36" i="5"/>
  <c r="U54" i="5"/>
  <c r="W54" i="5"/>
  <c r="U120" i="5"/>
  <c r="W120" i="5"/>
  <c r="U38" i="5"/>
  <c r="W38" i="5"/>
  <c r="U56" i="5"/>
  <c r="W56" i="5"/>
  <c r="W85" i="5"/>
  <c r="U85" i="5"/>
  <c r="U37" i="5"/>
  <c r="W37" i="5"/>
  <c r="O139" i="5"/>
  <c r="O141" i="5"/>
  <c r="H12" i="5"/>
  <c r="G19" i="5"/>
  <c r="O40" i="5"/>
  <c r="K17" i="5"/>
  <c r="B5" i="8"/>
  <c r="AE13" i="5"/>
  <c r="AE15" i="5"/>
  <c r="H14" i="5"/>
  <c r="O122" i="5"/>
  <c r="U139" i="5"/>
  <c r="W139" i="5"/>
  <c r="J12" i="5"/>
  <c r="B4" i="8"/>
  <c r="O41" i="5"/>
  <c r="D35" i="2"/>
  <c r="O17" i="5"/>
  <c r="O18" i="5"/>
  <c r="O30" i="8"/>
  <c r="J30" i="8"/>
  <c r="T30" i="8"/>
  <c r="L30" i="8"/>
  <c r="M30" i="8"/>
  <c r="P30" i="8"/>
  <c r="I30" i="8"/>
  <c r="R30" i="8"/>
  <c r="K30" i="8"/>
  <c r="N30" i="8"/>
  <c r="Q30" i="8"/>
  <c r="S30" i="8"/>
  <c r="AE19" i="5"/>
  <c r="M14" i="5"/>
  <c r="B8" i="8"/>
  <c r="E9" i="8"/>
  <c r="J14" i="5"/>
  <c r="O12" i="5"/>
  <c r="L112" i="5"/>
  <c r="O112" i="5"/>
  <c r="O123" i="5"/>
  <c r="L111" i="5"/>
  <c r="O111" i="5"/>
  <c r="U111" i="5"/>
  <c r="W111" i="5"/>
  <c r="L108" i="5"/>
  <c r="O108" i="5"/>
  <c r="L110" i="5"/>
  <c r="O110" i="5"/>
  <c r="U110" i="5"/>
  <c r="W110" i="5"/>
  <c r="L109" i="5"/>
  <c r="O109" i="5"/>
  <c r="U109" i="5"/>
  <c r="W109" i="5"/>
  <c r="B7" i="8"/>
  <c r="L81" i="5"/>
  <c r="O81" i="5"/>
  <c r="U30" i="8"/>
  <c r="U112" i="5"/>
  <c r="W112" i="5"/>
  <c r="L34" i="5"/>
  <c r="L52" i="5"/>
  <c r="L77" i="5"/>
  <c r="O77" i="5"/>
  <c r="L51" i="5"/>
  <c r="O51" i="5"/>
  <c r="L78" i="5"/>
  <c r="L33" i="5"/>
  <c r="O33" i="5"/>
  <c r="L80" i="5"/>
  <c r="O80" i="5"/>
  <c r="L79" i="5"/>
  <c r="O79" i="5"/>
  <c r="L32" i="5"/>
  <c r="O32" i="5"/>
  <c r="O121" i="5"/>
  <c r="O124" i="5"/>
  <c r="L39" i="8"/>
  <c r="J39" i="8"/>
  <c r="I39" i="8"/>
  <c r="K39" i="8"/>
  <c r="S46" i="8"/>
  <c r="S42" i="8"/>
  <c r="T46" i="8"/>
  <c r="R46" i="8"/>
  <c r="R42" i="8"/>
  <c r="S41" i="8"/>
  <c r="T42" i="8"/>
  <c r="Q46" i="8"/>
  <c r="Q42" i="8"/>
  <c r="S45" i="8"/>
  <c r="R41" i="8"/>
  <c r="T45" i="8"/>
  <c r="T41" i="8"/>
  <c r="R45" i="8"/>
  <c r="Q41" i="8"/>
  <c r="Q39" i="8"/>
  <c r="T44" i="8"/>
  <c r="S40" i="8"/>
  <c r="R47" i="8"/>
  <c r="T39" i="8"/>
  <c r="Q43" i="8"/>
  <c r="S39" i="8"/>
  <c r="T47" i="8"/>
  <c r="T43" i="8"/>
  <c r="S43" i="8"/>
  <c r="Q47" i="8"/>
  <c r="S47" i="8"/>
  <c r="T40" i="8"/>
  <c r="Q44" i="8"/>
  <c r="S44" i="8"/>
  <c r="Q45" i="8"/>
  <c r="R40" i="8"/>
  <c r="R44" i="8"/>
  <c r="R39" i="8"/>
  <c r="Q40" i="8"/>
  <c r="R43" i="8"/>
  <c r="I13" i="8"/>
  <c r="E8" i="8"/>
  <c r="I33" i="8"/>
  <c r="J13" i="8"/>
  <c r="K13" i="8"/>
  <c r="L33" i="8"/>
  <c r="L13" i="8"/>
  <c r="J33" i="8"/>
  <c r="K33" i="8"/>
  <c r="S38" i="8"/>
  <c r="T38" i="8"/>
  <c r="R38" i="8"/>
  <c r="Q38" i="8"/>
  <c r="I16" i="8"/>
  <c r="S16" i="8"/>
  <c r="Q16" i="8"/>
  <c r="L16" i="8"/>
  <c r="N16" i="8"/>
  <c r="M16" i="8"/>
  <c r="J16" i="8"/>
  <c r="R16" i="8"/>
  <c r="T16" i="8"/>
  <c r="O16" i="8"/>
  <c r="P16" i="8"/>
  <c r="K16" i="8"/>
  <c r="S15" i="8"/>
  <c r="P15" i="8"/>
  <c r="Q14" i="8"/>
  <c r="L15" i="8"/>
  <c r="N15" i="8"/>
  <c r="T14" i="8"/>
  <c r="Q15" i="8"/>
  <c r="I15" i="8"/>
  <c r="M14" i="8"/>
  <c r="R15" i="8"/>
  <c r="N14" i="8"/>
  <c r="T15" i="8"/>
  <c r="O14" i="8"/>
  <c r="O15" i="8"/>
  <c r="S14" i="8"/>
  <c r="P14" i="8"/>
  <c r="M15" i="8"/>
  <c r="R14" i="8"/>
  <c r="K15" i="8"/>
  <c r="J15" i="8"/>
  <c r="U81" i="5"/>
  <c r="W81" i="5"/>
  <c r="AE20" i="5"/>
  <c r="AE21" i="5"/>
  <c r="AE16" i="5"/>
  <c r="AE17" i="5"/>
  <c r="Q98" i="5"/>
  <c r="O78" i="5"/>
  <c r="U78" i="5"/>
  <c r="W78" i="5"/>
  <c r="O34" i="5"/>
  <c r="U34" i="5"/>
  <c r="W34" i="5"/>
  <c r="O52" i="5"/>
  <c r="U52" i="5"/>
  <c r="W52" i="5"/>
  <c r="U32" i="5"/>
  <c r="U80" i="5"/>
  <c r="W80" i="5"/>
  <c r="U108" i="5"/>
  <c r="W108" i="5"/>
  <c r="U33" i="5"/>
  <c r="W33" i="5"/>
  <c r="U79" i="5"/>
  <c r="U51" i="5"/>
  <c r="I57" i="8" a="1"/>
  <c r="I57" i="8"/>
  <c r="U45" i="8"/>
  <c r="L57" i="8" a="1"/>
  <c r="L57" i="8"/>
  <c r="J49" i="8"/>
  <c r="J51" i="8"/>
  <c r="J57" i="8" a="1"/>
  <c r="J57" i="8"/>
  <c r="K49" i="8"/>
  <c r="K51" i="8"/>
  <c r="K57" i="8" a="1"/>
  <c r="K57" i="8"/>
  <c r="L49" i="8"/>
  <c r="L51" i="8"/>
  <c r="U42" i="8"/>
  <c r="U41" i="8"/>
  <c r="U39" i="8"/>
  <c r="U46" i="8"/>
  <c r="U44" i="8"/>
  <c r="U43" i="8"/>
  <c r="U40" i="8"/>
  <c r="U47" i="8"/>
  <c r="P35" i="8"/>
  <c r="P49" i="8"/>
  <c r="P51" i="8"/>
  <c r="R37" i="8"/>
  <c r="R49" i="8"/>
  <c r="R51" i="8"/>
  <c r="N35" i="8"/>
  <c r="N49" i="8"/>
  <c r="N51" i="8"/>
  <c r="S37" i="8"/>
  <c r="S49" i="8"/>
  <c r="O35" i="8"/>
  <c r="O49" i="8"/>
  <c r="O51" i="8"/>
  <c r="T37" i="8"/>
  <c r="T49" i="8"/>
  <c r="T51" i="8"/>
  <c r="Q37" i="8"/>
  <c r="Q49" i="8"/>
  <c r="Q51" i="8"/>
  <c r="M35" i="8"/>
  <c r="S19" i="8"/>
  <c r="S29" i="8"/>
  <c r="S31" i="8"/>
  <c r="N19" i="8"/>
  <c r="N29" i="8"/>
  <c r="R19" i="8"/>
  <c r="R29" i="8"/>
  <c r="O19" i="8"/>
  <c r="O29" i="8"/>
  <c r="P19" i="8"/>
  <c r="P29" i="8"/>
  <c r="T19" i="8"/>
  <c r="T29" i="8"/>
  <c r="M19" i="8"/>
  <c r="M29" i="8"/>
  <c r="Q19" i="8"/>
  <c r="Q29" i="8"/>
  <c r="I49" i="8"/>
  <c r="U33" i="8"/>
  <c r="U14" i="8"/>
  <c r="J29" i="8"/>
  <c r="U17" i="8"/>
  <c r="K29" i="8"/>
  <c r="U15" i="8"/>
  <c r="U38" i="8"/>
  <c r="I29" i="8"/>
  <c r="I31" i="8"/>
  <c r="U13" i="8"/>
  <c r="L29" i="8"/>
  <c r="U16" i="8"/>
  <c r="P98" i="5"/>
  <c r="O98" i="5"/>
  <c r="O58" i="5"/>
  <c r="W121" i="5"/>
  <c r="O39" i="5"/>
  <c r="U121" i="5"/>
  <c r="U39" i="5"/>
  <c r="W32" i="5"/>
  <c r="W39" i="5"/>
  <c r="O91" i="5"/>
  <c r="O93" i="5"/>
  <c r="U77" i="5"/>
  <c r="U91" i="5"/>
  <c r="W79" i="5"/>
  <c r="W51" i="5"/>
  <c r="W58" i="5"/>
  <c r="U58" i="5"/>
  <c r="S57" i="8" a="1"/>
  <c r="S57" i="8"/>
  <c r="M57" i="8" a="1"/>
  <c r="M57" i="8"/>
  <c r="R57" i="8" a="1"/>
  <c r="R57" i="8"/>
  <c r="Q57" i="8" a="1"/>
  <c r="Q57" i="8"/>
  <c r="T57" i="8" a="1"/>
  <c r="T57" i="8"/>
  <c r="N57" i="8" a="1"/>
  <c r="N57" i="8"/>
  <c r="P57" i="8" a="1"/>
  <c r="P57" i="8"/>
  <c r="O57" i="8" a="1"/>
  <c r="O57" i="8"/>
  <c r="U35" i="8"/>
  <c r="U37" i="8"/>
  <c r="U19" i="8"/>
  <c r="U29" i="8"/>
  <c r="U31" i="8"/>
  <c r="M49" i="8"/>
  <c r="M54" i="8"/>
  <c r="M55" i="8"/>
  <c r="N54" i="8"/>
  <c r="N55" i="8"/>
  <c r="N31" i="8"/>
  <c r="S54" i="8"/>
  <c r="S55" i="8"/>
  <c r="K54" i="8"/>
  <c r="K55" i="8"/>
  <c r="K31" i="8"/>
  <c r="T54" i="8"/>
  <c r="T55" i="8"/>
  <c r="T31" i="8"/>
  <c r="M31" i="8"/>
  <c r="Q54" i="8"/>
  <c r="Q55" i="8"/>
  <c r="Q31" i="8"/>
  <c r="S51" i="8"/>
  <c r="R54" i="8"/>
  <c r="R55" i="8"/>
  <c r="R31" i="8"/>
  <c r="O54" i="8"/>
  <c r="O55" i="8"/>
  <c r="O31" i="8"/>
  <c r="L54" i="8"/>
  <c r="L55" i="8"/>
  <c r="L31" i="8"/>
  <c r="P54" i="8"/>
  <c r="P55" i="8"/>
  <c r="P31" i="8"/>
  <c r="J54" i="8"/>
  <c r="J55" i="8"/>
  <c r="J31" i="8"/>
  <c r="I54" i="8"/>
  <c r="I51" i="8"/>
  <c r="O149" i="5"/>
  <c r="O153" i="5"/>
  <c r="W77" i="5"/>
  <c r="W91" i="5"/>
  <c r="W144" i="5"/>
  <c r="O95" i="5"/>
  <c r="O96" i="5"/>
  <c r="O63" i="5"/>
  <c r="O64" i="5"/>
  <c r="O60" i="5"/>
  <c r="O61" i="5"/>
  <c r="O148" i="5"/>
  <c r="O152" i="5"/>
  <c r="O144" i="5"/>
  <c r="O145" i="5"/>
  <c r="U144" i="5"/>
  <c r="U49" i="8"/>
  <c r="U51" i="8"/>
  <c r="M51" i="8"/>
  <c r="U54" i="8"/>
  <c r="I55" i="8"/>
  <c r="U55" i="8"/>
</calcChain>
</file>

<file path=xl/sharedStrings.xml><?xml version="1.0" encoding="utf-8"?>
<sst xmlns="http://schemas.openxmlformats.org/spreadsheetml/2006/main" count="447" uniqueCount="269">
  <si>
    <t>Gift</t>
  </si>
  <si>
    <t>Endowment</t>
  </si>
  <si>
    <t>Other</t>
  </si>
  <si>
    <t>Name:</t>
  </si>
  <si>
    <t>Department:</t>
  </si>
  <si>
    <t>Division/School:</t>
  </si>
  <si>
    <t>Covered Compensation Rate</t>
  </si>
  <si>
    <t>Total UC Salary Rate</t>
  </si>
  <si>
    <t>Summer Salary        (Max 3/9ths)</t>
  </si>
  <si>
    <t>Administrative Stipend (Addt'l Covered Comp)</t>
  </si>
  <si>
    <t xml:space="preserve">Total UC Compensation </t>
  </si>
  <si>
    <t>Proposed:</t>
  </si>
  <si>
    <t>Fiscal Year:</t>
  </si>
  <si>
    <t>Scale Rate (annual)</t>
  </si>
  <si>
    <t>Market OS (annual)</t>
  </si>
  <si>
    <t>Faculty Certification</t>
  </si>
  <si>
    <t>I have sufficient, appropriate external funding to cover my salary, benefits, and contigency fund obligations.</t>
  </si>
  <si>
    <t>I will not reduce my teaching, research, service, and graduate support commitments during my participation.</t>
  </si>
  <si>
    <t>Employee Signature</t>
  </si>
  <si>
    <t>Date</t>
  </si>
  <si>
    <t>Contingency Fund Obligation:</t>
  </si>
  <si>
    <t>Fund Verification</t>
  </si>
  <si>
    <t>I certify that the following Program eligibility requirements have been met by the requestor:</t>
  </si>
  <si>
    <t>Department Chair Endorsement</t>
  </si>
  <si>
    <t>Maintenance of the participant's position as a leader in a chosen field of research</t>
  </si>
  <si>
    <t>All research contracts and grants are in good standing (e.g., no outstanding agency reports or accounts in deficit)</t>
  </si>
  <si>
    <t>Fulfillment of graduate student support obligations</t>
  </si>
  <si>
    <t>Compliance with reporting and training requirements (e.g., effort certification)</t>
  </si>
  <si>
    <t>I certify that allowable and appropriate resources are available to support the proposal and that the contingency fund requirements have been met.</t>
  </si>
  <si>
    <t>I approve the requestor's participation in the Pilot Compensation Program.</t>
  </si>
  <si>
    <t>I certify that the requested salary amount is within the norms of the department/discipline and is consistent with the Campus Implementation Plan.</t>
  </si>
  <si>
    <t>Name</t>
  </si>
  <si>
    <t>Title</t>
  </si>
  <si>
    <t>ü</t>
  </si>
  <si>
    <t>EVC Approval</t>
  </si>
  <si>
    <t>School/Division Dean Endorsement</t>
  </si>
  <si>
    <t>I have reviewed the proposal and endorse the requestor's participation in the Pilot Compensation Program.</t>
  </si>
  <si>
    <t>Suresh Subramani, Executive Vice Chancellor</t>
  </si>
  <si>
    <t>Compensation Proposal</t>
  </si>
  <si>
    <t>Social Sciences</t>
  </si>
  <si>
    <t>FACULTY SALARY WORKSHEET</t>
  </si>
  <si>
    <t>GENERAL CAMPUS COMPENSATION REQUEST</t>
  </si>
  <si>
    <t>Empl ID:</t>
  </si>
  <si>
    <t>Salary Sources</t>
  </si>
  <si>
    <t>% Time</t>
  </si>
  <si>
    <t>Step</t>
  </si>
  <si>
    <t>Assistant Professor</t>
  </si>
  <si>
    <t>Associate Professor</t>
  </si>
  <si>
    <t>Professor</t>
  </si>
  <si>
    <t>Title/Rank</t>
  </si>
  <si>
    <t>I</t>
  </si>
  <si>
    <t>II</t>
  </si>
  <si>
    <t>III</t>
  </si>
  <si>
    <t>IV</t>
  </si>
  <si>
    <t>V</t>
  </si>
  <si>
    <t>VI</t>
  </si>
  <si>
    <t>VII</t>
  </si>
  <si>
    <t>VIII</t>
  </si>
  <si>
    <t>IX</t>
  </si>
  <si>
    <t>AS</t>
  </si>
  <si>
    <t>OS</t>
  </si>
  <si>
    <t>Rank (Title)</t>
  </si>
  <si>
    <t>Division</t>
  </si>
  <si>
    <t>Arts &amp; Humanities</t>
  </si>
  <si>
    <t>Biological Sciences</t>
  </si>
  <si>
    <t>Jacobs School of Engineering</t>
  </si>
  <si>
    <t>Physical Sciences</t>
  </si>
  <si>
    <t>Rady School of Management</t>
  </si>
  <si>
    <t>Scripps Institute of Oceanography</t>
  </si>
  <si>
    <t>International Relations &amp; Pacific Studies</t>
  </si>
  <si>
    <t>INDEX</t>
  </si>
  <si>
    <t>FUND</t>
  </si>
  <si>
    <t>TITLE</t>
  </si>
  <si>
    <t>START</t>
  </si>
  <si>
    <t>END</t>
  </si>
  <si>
    <t>RATE</t>
  </si>
  <si>
    <t>% TIME</t>
  </si>
  <si>
    <t>CAP RATE</t>
  </si>
  <si>
    <t>SALARY</t>
  </si>
  <si>
    <t>Monthly Rates:</t>
  </si>
  <si>
    <t>FUND TYPE</t>
  </si>
  <si>
    <t>Self-Supporting Degree Fee</t>
  </si>
  <si>
    <t>Professional Degree Fee</t>
  </si>
  <si>
    <t>Royalties or Licensing Fees</t>
  </si>
  <si>
    <t>Federal Contract or Grant</t>
  </si>
  <si>
    <t>Private Contract or Grant</t>
  </si>
  <si>
    <t>State Contract or Grant</t>
  </si>
  <si>
    <t>State General Fund</t>
  </si>
  <si>
    <t>Fund Type1</t>
  </si>
  <si>
    <t>Student Tuition</t>
  </si>
  <si>
    <t>Fund Type2</t>
  </si>
  <si>
    <t>Maximum:</t>
  </si>
  <si>
    <t>Covered Compensation - FTE Fund Sources</t>
  </si>
  <si>
    <t>Covered Compensation - Other Fund Sources</t>
  </si>
  <si>
    <t>Negotiated Salary Increment</t>
  </si>
  <si>
    <t>MO</t>
  </si>
  <si>
    <t>CAP GAP</t>
  </si>
  <si>
    <t>Indirect Cost Recovery</t>
  </si>
  <si>
    <t>Summer Salary</t>
  </si>
  <si>
    <t>A sustained high level of performance during the previous review period, including fulfillment of the faculty member's approved teaching load, and fulfillment of service responsibilities in accordance with department and University norms</t>
  </si>
  <si>
    <t>FTE Fund Source Minimum:</t>
  </si>
  <si>
    <t>Projected Benefits Rates</t>
  </si>
  <si>
    <t>Covered Comp</t>
  </si>
  <si>
    <t>Negotiated Increment</t>
  </si>
  <si>
    <t>Stipend</t>
  </si>
  <si>
    <t>BENEFITS (EST.)</t>
  </si>
  <si>
    <t>TOTAL COST</t>
  </si>
  <si>
    <t>Total Salary:</t>
  </si>
  <si>
    <t>Difference from approved compensation:</t>
  </si>
  <si>
    <t>Total Salary from Dept Sources:</t>
  </si>
  <si>
    <t>Total Salary from Faculty Sources:</t>
  </si>
  <si>
    <t>Total Salary &amp; Benefits from Faculty Sources:</t>
  </si>
  <si>
    <t>NOTES</t>
  </si>
  <si>
    <t>Total Salary &amp; Benefits from Dept Sources:</t>
  </si>
  <si>
    <t>Total Benefits</t>
  </si>
  <si>
    <t>Total Cost</t>
  </si>
  <si>
    <t>Minimum Salary from FTE Fund Source:</t>
  </si>
  <si>
    <t xml:space="preserve">   Funding from outside the department will be used.   Backup showing approval of the use of this funding is attached.</t>
  </si>
  <si>
    <t xml:space="preserve">   No funding from outside the department will be used.   </t>
  </si>
  <si>
    <t>Salary Check:</t>
  </si>
  <si>
    <t>ENTER: Total Salary to Pay</t>
  </si>
  <si>
    <t>ENTER: Number of Months</t>
  </si>
  <si>
    <t>ENTER: Pay Rate</t>
  </si>
  <si>
    <t>Percent Time (calculation)</t>
  </si>
  <si>
    <t>PERCENT TIME - CALCULATION TOOL</t>
  </si>
  <si>
    <t>Calculating Salary Cap Monthly Rate</t>
  </si>
  <si>
    <t>ENTER: Annual Salary Cap Amount</t>
  </si>
  <si>
    <t>Monthly Rate for 9-month salary paid over 12 months</t>
  </si>
  <si>
    <t>Monthly Rate for 9-month salary paid over 9 months</t>
  </si>
  <si>
    <t>SALARY CAP CALCULATION TOOL</t>
  </si>
  <si>
    <t>SALARY CAP GAP CALCULATION TOOL</t>
  </si>
  <si>
    <t>Calculating the monthly amount for the cap gap</t>
  </si>
  <si>
    <t>ENTER: Monthly Pay Rate</t>
  </si>
  <si>
    <t>ENTER: Monthly Salary Cap Rate</t>
  </si>
  <si>
    <t>ENTER: Percent Time</t>
  </si>
  <si>
    <t>Monthly Cap Gap Amount (calculation)</t>
  </si>
  <si>
    <t>Salary at Regular Monthly Rate</t>
  </si>
  <si>
    <t>Salary Check (Cap + Cap Gap) - Monthly</t>
  </si>
  <si>
    <t>Target Amount:</t>
  </si>
  <si>
    <t>Minimum Amount:</t>
  </si>
  <si>
    <t>Over (Under) Target:</t>
  </si>
  <si>
    <t>Difference from actual covered compensation:</t>
  </si>
  <si>
    <t>Difference from proposed salary increment:</t>
  </si>
  <si>
    <t>Calculated Salary-- All Fund Sources:</t>
  </si>
  <si>
    <t>Difference from UC Salary proposed:</t>
  </si>
  <si>
    <t>Covered Compensation - All Fund Sources:</t>
  </si>
  <si>
    <t>Calculating Percent Time Using Targeted Salary Amount</t>
  </si>
  <si>
    <t>Salary Calculation Tools</t>
  </si>
  <si>
    <t>Monthly maximum allowed on state funds or student tuition funds:</t>
  </si>
  <si>
    <t>Total Percent Time Paid:</t>
  </si>
  <si>
    <t>% SUMMER</t>
  </si>
  <si>
    <t>% EFFORT</t>
  </si>
  <si>
    <t>% Effort</t>
  </si>
  <si>
    <t>% Time (9 mo)</t>
  </si>
  <si>
    <t>Total Summer Months Paid:</t>
  </si>
  <si>
    <t>Use this section to record salary that is part of covered compensation, but is not coming from regular FTE fund sources.      This is to make up for the salary from FTE fund sources that was set aside for the contingency fund and for FSEP.   It may also be used to record sabbatical leave supplement funding.</t>
  </si>
  <si>
    <t>Edit rates as necessary</t>
  </si>
  <si>
    <t>Administrative Stipend/Other</t>
  </si>
  <si>
    <t>[continued on next page]</t>
  </si>
  <si>
    <t>Maximum Summer Salary:</t>
  </si>
  <si>
    <t>Difference:</t>
  </si>
  <si>
    <t>Use this section to record other salary payments, such as stipends, overload teaching, university extension teaching or other one-time payments.</t>
  </si>
  <si>
    <t>Faculty Name:</t>
  </si>
  <si>
    <t>annual 9-mo base sal:</t>
  </si>
  <si>
    <t>desired increase in total gross annual salary:</t>
  </si>
  <si>
    <t>add'l acad yr comp:</t>
  </si>
  <si>
    <t>add'l sum comp:</t>
  </si>
  <si>
    <t>COST CALCULATIONS</t>
  </si>
  <si>
    <t>add'l acad year comp</t>
    <phoneticPr fontId="2" type="noConversion"/>
  </si>
  <si>
    <t>add'l cost for 3/9ths summer</t>
    <phoneticPr fontId="2" type="noConversion"/>
  </si>
  <si>
    <t>benefits on add'l acad yr comp</t>
    <phoneticPr fontId="2" type="noConversion"/>
  </si>
  <si>
    <t>total extra sal "in pocket"</t>
  </si>
  <si>
    <t>salary including summer ninths:</t>
  </si>
  <si>
    <t>% incr in annual comp:</t>
  </si>
  <si>
    <t>Calculation of Additional Cost to Faculty Funds for Participating in GCCP</t>
  </si>
  <si>
    <t xml:space="preserve">  -- for individuals who are already paying themselves three summer ninths</t>
  </si>
  <si>
    <t>benefits on add'l cost for contingency</t>
  </si>
  <si>
    <t>add'l cost for contingency fund set aside</t>
  </si>
  <si>
    <t>benefits on add'l cost for summer ninths</t>
  </si>
  <si>
    <t>total new sal+ben costs on faculty funds</t>
  </si>
  <si>
    <t>F&amp;A Costs (estimated at 55%)</t>
  </si>
  <si>
    <t>total add'l cost to faculty funds</t>
  </si>
  <si>
    <t>NOTE: All summer salary must be paid between July 1 and September 30.  For partial month payments, you will need to override the calculation of the number of months by entering the appropriate value (e.g., 1.5) in the MO column.</t>
  </si>
  <si>
    <t>Negotiated Salary  Increment</t>
  </si>
  <si>
    <t xml:space="preserve">Percent Participation:  </t>
  </si>
  <si>
    <t>Summer Salary
(Max 3/9ths)</t>
  </si>
  <si>
    <t>Admin Stipend (Addt'l Covered Comp)</t>
  </si>
  <si>
    <t>available for salary:</t>
  </si>
  <si>
    <t>19900A budgeted salary:</t>
  </si>
  <si>
    <t>20095A budgeted salary:</t>
  </si>
  <si>
    <t>19900A proposed salary:</t>
  </si>
  <si>
    <t>under/(over) budget:</t>
  </si>
  <si>
    <t>19900A contingency set aside:</t>
  </si>
  <si>
    <t>20095A proposed salary:</t>
  </si>
  <si>
    <t>BUDGETED SALARY COMPARED TO PROPOSED SALARY</t>
  </si>
  <si>
    <t xml:space="preserve">PPS NOTE: </t>
  </si>
  <si>
    <t>PPS NOTE:</t>
  </si>
  <si>
    <t>Annual</t>
  </si>
  <si>
    <t>9/12 Rate</t>
  </si>
  <si>
    <t>9/9 Rate</t>
  </si>
  <si>
    <t>NIH Salary Cap -- Annual and Monthly Rates</t>
  </si>
  <si>
    <t>(acad yr)</t>
  </si>
  <si>
    <t>(summer)</t>
  </si>
  <si>
    <t>DOS</t>
  </si>
  <si>
    <t>Fund</t>
  </si>
  <si>
    <t>Fund Description</t>
  </si>
  <si>
    <t>Start Date</t>
  </si>
  <si>
    <t>End Date</t>
  </si>
  <si>
    <t>Index</t>
  </si>
  <si>
    <t>Annual Salary:</t>
  </si>
  <si>
    <t>Monthly Salary Rate:</t>
  </si>
  <si>
    <t>Summer Ninth Rate:</t>
  </si>
  <si>
    <t>DOS Code</t>
  </si>
  <si>
    <t>Salary Category</t>
  </si>
  <si>
    <t>TOTAL</t>
  </si>
  <si>
    <t>Covered Comp:</t>
  </si>
  <si>
    <t>Negotiated Comp:</t>
  </si>
  <si>
    <t>Covered Comp-Capped Fund</t>
  </si>
  <si>
    <t>Covered Comp-Cap Gap Fund</t>
  </si>
  <si>
    <t>Covered Comp-No Cap</t>
  </si>
  <si>
    <t>Negotiated Comp-No Cap</t>
  </si>
  <si>
    <t>Negotiated Comp-Capped Fund</t>
  </si>
  <si>
    <t>Negotiated Comp-Cap Gap Fund</t>
  </si>
  <si>
    <t>Balance to Pay</t>
  </si>
  <si>
    <t>Covered Comp Total</t>
  </si>
  <si>
    <t>Covered Comp Target</t>
  </si>
  <si>
    <t>Contingency Fund:</t>
  </si>
  <si>
    <t>Negotiated Comp Total</t>
  </si>
  <si>
    <t>Negotiated Comp Target</t>
  </si>
  <si>
    <t>TOTAL SALARY</t>
  </si>
  <si>
    <t>If funds used have no salary cap and these are research ninths, use DOS code ACR for the pay distributions.
If funds have a salary cap and these are research ninths, use DOS code ARC for the capped funds and DOS code AAC for the cap gap funds.</t>
  </si>
  <si>
    <t>research</t>
  </si>
  <si>
    <t>Comments</t>
  </si>
  <si>
    <t>FSEP Winter, Spring</t>
  </si>
  <si>
    <t>Salary Cap Rate - Monthly</t>
  </si>
  <si>
    <t>Salary Cap Rate - Ninths</t>
  </si>
  <si>
    <t>Cap Gap "Rate" - Monthly</t>
  </si>
  <si>
    <t>Cap Gap "Rate" - Ninths</t>
  </si>
  <si>
    <t xml:space="preserve">ENTER ANNUAL CAP RATE: </t>
  </si>
  <si>
    <t xml:space="preserve">Salary Worksheet - Salary by Month - Regular Academic Year Salary (does not include summer ninths) </t>
  </si>
  <si>
    <t>TOTAL PERCENT TIME</t>
  </si>
  <si>
    <t>CoveredCompSalaryType</t>
  </si>
  <si>
    <t>NegCompSalaryType</t>
  </si>
  <si>
    <t xml:space="preserve"> </t>
  </si>
  <si>
    <t>Yes</t>
  </si>
  <si>
    <t>No</t>
  </si>
  <si>
    <t>Primary Department Chair</t>
  </si>
  <si>
    <t>Secondary Department Chair</t>
  </si>
  <si>
    <t>Primary Dean</t>
  </si>
  <si>
    <t>Secondary Dean</t>
  </si>
  <si>
    <t>I will participate in FSEP this academic year.</t>
  </si>
  <si>
    <t>Review pending or proposed this academic year.</t>
  </si>
  <si>
    <t>Enrollment %</t>
  </si>
  <si>
    <t xml:space="preserve">        I will take a sabbatical or other leave this academic year.</t>
  </si>
  <si>
    <t>Number of graduate students faculty advises</t>
  </si>
  <si>
    <t>Number of postdocs faculty trains</t>
  </si>
  <si>
    <t>Covered Comp % monthly</t>
  </si>
  <si>
    <t>Negotiated Comp % monthly</t>
  </si>
  <si>
    <t>% Covered Compensation:</t>
  </si>
  <si>
    <t>I understand that early withdrawal from the program is allowed only upon separation form the University or as a result of an official disciplinary action.</t>
  </si>
  <si>
    <t>FTE Fund Source Target (excl. FSEP):</t>
  </si>
  <si>
    <t>If funds used have no salary cap, use DOS code NCB for these pay distributions.
If funds have a salary cap, use DOS code NCC for the capped funds and DOS code NCG for the cap gap funds.</t>
  </si>
  <si>
    <t>Use NCB DOS code for these pay distributions</t>
  </si>
  <si>
    <t>If funds used have no salary cap, use DOS code NNC for these pay distributions.
If funds have a salary cap, use DOS code NCU for the capped funds and DOS code NGU for the cap gap funds.</t>
  </si>
  <si>
    <t>IF(ISBLANK(H77),"",IF(M77&gt;0,"NCU",IF(N77&gt;0,"NGU","NNC")))</t>
  </si>
  <si>
    <t>2017/2018</t>
  </si>
  <si>
    <t>Use this section to record salary paid from the faculty member's regular FTE.    Fund sources are 99100A.   The maximum annual salary for this section will be the covered compensation rate (the scale rate plus off-scale amount), less funds set aside for the contingency funds and less any funds used in for FSEP.   The minimum annual salary for this section is 50% of covered compensation rate.</t>
  </si>
  <si>
    <t>Use this section to record salary for the negotiated salary increment.</t>
  </si>
  <si>
    <t>Use this section to record summer salary from all fund sources.</t>
  </si>
</sst>
</file>

<file path=xl/styles.xml><?xml version="1.0" encoding="utf-8"?>
<styleSheet xmlns="http://schemas.openxmlformats.org/spreadsheetml/2006/main" xmlns:mc="http://schemas.openxmlformats.org/markup-compatibility/2006" xmlns:x14ac="http://schemas.microsoft.com/office/spreadsheetml/2009/9/ac" mc:Ignorable="x14ac">
  <numFmts count="8">
    <numFmt numFmtId="5" formatCode="&quot;$&quot;#,##0_);\(&quot;$&quot;#,##0\)"/>
    <numFmt numFmtId="7" formatCode="&quot;$&quot;#,##0.00_);\(&quot;$&quot;#,##0.00\)"/>
    <numFmt numFmtId="44" formatCode="_(&quot;$&quot;* #,##0.00_);_(&quot;$&quot;* \(#,##0.00\);_(&quot;$&quot;* &quot;-&quot;??_);_(@_)"/>
    <numFmt numFmtId="43" formatCode="_(* #,##0.00_);_(* \(#,##0.00\);_(* &quot;-&quot;??_);_(@_)"/>
    <numFmt numFmtId="164" formatCode="#,##0.0000_);\(#,##0.0000\)"/>
    <numFmt numFmtId="165" formatCode="&quot;$&quot;#,##0"/>
    <numFmt numFmtId="166" formatCode="_(* #,##0_);_(* \(#,##0\);_(* &quot;-&quot;??_);_(@_)"/>
    <numFmt numFmtId="167" formatCode="0.0000"/>
  </numFmts>
  <fonts count="20" x14ac:knownFonts="1">
    <font>
      <sz val="11"/>
      <color theme="1"/>
      <name val="Calibri"/>
      <family val="2"/>
      <scheme val="minor"/>
    </font>
    <font>
      <sz val="11"/>
      <color theme="1"/>
      <name val="Calibri"/>
      <family val="2"/>
      <scheme val="minor"/>
    </font>
    <font>
      <b/>
      <sz val="11"/>
      <color theme="1"/>
      <name val="Calibri"/>
      <family val="2"/>
      <scheme val="minor"/>
    </font>
    <font>
      <sz val="11"/>
      <color indexed="8"/>
      <name val="Calibri"/>
      <family val="2"/>
    </font>
    <font>
      <sz val="10"/>
      <name val="Arial"/>
      <family val="2"/>
    </font>
    <font>
      <sz val="12"/>
      <name val="Arial"/>
      <family val="2"/>
    </font>
    <font>
      <i/>
      <sz val="11"/>
      <color theme="1"/>
      <name val="Calibri"/>
      <family val="2"/>
      <scheme val="minor"/>
    </font>
    <font>
      <b/>
      <sz val="10"/>
      <color theme="1"/>
      <name val="Calibri"/>
      <family val="2"/>
      <scheme val="minor"/>
    </font>
    <font>
      <b/>
      <sz val="14"/>
      <color theme="1"/>
      <name val="Calibri"/>
      <family val="2"/>
      <scheme val="minor"/>
    </font>
    <font>
      <b/>
      <sz val="12"/>
      <color theme="1"/>
      <name val="Calibri"/>
      <family val="2"/>
      <scheme val="minor"/>
    </font>
    <font>
      <sz val="11"/>
      <color theme="1"/>
      <name val="Wingdings"/>
      <charset val="2"/>
    </font>
    <font>
      <b/>
      <sz val="12"/>
      <color theme="0"/>
      <name val="Calibri"/>
      <family val="2"/>
      <scheme val="minor"/>
    </font>
    <font>
      <b/>
      <sz val="12"/>
      <name val="Calibri"/>
      <family val="2"/>
      <scheme val="minor"/>
    </font>
    <font>
      <sz val="11"/>
      <name val="Calibri"/>
      <family val="2"/>
      <scheme val="minor"/>
    </font>
    <font>
      <sz val="10"/>
      <color theme="1"/>
      <name val="Calibri"/>
      <family val="2"/>
      <scheme val="minor"/>
    </font>
    <font>
      <u/>
      <sz val="11"/>
      <color theme="1"/>
      <name val="Calibri"/>
      <family val="2"/>
      <scheme val="minor"/>
    </font>
    <font>
      <sz val="12"/>
      <color theme="1"/>
      <name val="Calibri"/>
      <family val="2"/>
      <scheme val="minor"/>
    </font>
    <font>
      <i/>
      <sz val="11"/>
      <color rgb="FFFF0000"/>
      <name val="Calibri"/>
      <family val="2"/>
      <scheme val="minor"/>
    </font>
    <font>
      <b/>
      <sz val="11"/>
      <color rgb="FFFF0000"/>
      <name val="Calibri"/>
      <family val="2"/>
      <scheme val="minor"/>
    </font>
    <font>
      <b/>
      <i/>
      <sz val="11"/>
      <color theme="1"/>
      <name val="Calibri"/>
      <family val="2"/>
      <scheme val="minor"/>
    </font>
  </fonts>
  <fills count="12">
    <fill>
      <patternFill patternType="none"/>
    </fill>
    <fill>
      <patternFill patternType="gray125"/>
    </fill>
    <fill>
      <patternFill patternType="solid">
        <fgColor theme="0" tint="-4.9989318521683403E-2"/>
        <bgColor indexed="64"/>
      </patternFill>
    </fill>
    <fill>
      <patternFill patternType="solid">
        <fgColor rgb="FFFFFFCC"/>
        <bgColor indexed="64"/>
      </patternFill>
    </fill>
    <fill>
      <patternFill patternType="solid">
        <fgColor theme="0" tint="-0.14999847407452621"/>
        <bgColor indexed="64"/>
      </patternFill>
    </fill>
    <fill>
      <patternFill patternType="solid">
        <fgColor theme="8" tint="0.79998168889431442"/>
        <bgColor indexed="64"/>
      </patternFill>
    </fill>
    <fill>
      <patternFill patternType="solid">
        <fgColor theme="8" tint="0.59999389629810485"/>
        <bgColor indexed="64"/>
      </patternFill>
    </fill>
    <fill>
      <patternFill patternType="solid">
        <fgColor theme="6" tint="0.59999389629810485"/>
        <bgColor indexed="64"/>
      </patternFill>
    </fill>
    <fill>
      <patternFill patternType="solid">
        <fgColor theme="0" tint="-0.499984740745262"/>
        <bgColor indexed="64"/>
      </patternFill>
    </fill>
    <fill>
      <patternFill patternType="solid">
        <fgColor theme="7" tint="0.59999389629810485"/>
        <bgColor indexed="64"/>
      </patternFill>
    </fill>
    <fill>
      <patternFill patternType="solid">
        <fgColor theme="3" tint="0.79998168889431442"/>
        <bgColor indexed="64"/>
      </patternFill>
    </fill>
    <fill>
      <patternFill patternType="solid">
        <fgColor rgb="FFFFFF00"/>
        <bgColor indexed="64"/>
      </patternFill>
    </fill>
  </fills>
  <borders count="15">
    <border>
      <left/>
      <right/>
      <top/>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right/>
      <top/>
      <bottom style="thin">
        <color auto="1"/>
      </bottom>
      <diagonal/>
    </border>
    <border>
      <left style="thin">
        <color auto="1"/>
      </left>
      <right style="thin">
        <color auto="1"/>
      </right>
      <top style="thin">
        <color auto="1"/>
      </top>
      <bottom style="thin">
        <color auto="1"/>
      </bottom>
      <diagonal/>
    </border>
    <border>
      <left style="thin">
        <color auto="1"/>
      </left>
      <right/>
      <top style="thin">
        <color auto="1"/>
      </top>
      <bottom/>
      <diagonal/>
    </border>
    <border>
      <left/>
      <right style="thin">
        <color auto="1"/>
      </right>
      <top style="thin">
        <color auto="1"/>
      </top>
      <bottom/>
      <diagonal/>
    </border>
    <border>
      <left style="thin">
        <color auto="1"/>
      </left>
      <right/>
      <top/>
      <bottom/>
      <diagonal/>
    </border>
    <border>
      <left/>
      <right style="thin">
        <color auto="1"/>
      </right>
      <top/>
      <bottom/>
      <diagonal/>
    </border>
    <border>
      <left style="thin">
        <color auto="1"/>
      </left>
      <right/>
      <top/>
      <bottom style="thin">
        <color auto="1"/>
      </bottom>
      <diagonal/>
    </border>
    <border>
      <left/>
      <right style="thin">
        <color auto="1"/>
      </right>
      <top/>
      <bottom style="thin">
        <color auto="1"/>
      </bottom>
      <diagonal/>
    </border>
    <border>
      <left/>
      <right/>
      <top style="thin">
        <color auto="1"/>
      </top>
      <bottom/>
      <diagonal/>
    </border>
    <border>
      <left style="medium">
        <color auto="1"/>
      </left>
      <right style="medium">
        <color auto="1"/>
      </right>
      <top style="medium">
        <color auto="1"/>
      </top>
      <bottom style="medium">
        <color auto="1"/>
      </bottom>
      <diagonal/>
    </border>
    <border>
      <left/>
      <right/>
      <top/>
      <bottom style="medium">
        <color auto="1"/>
      </bottom>
      <diagonal/>
    </border>
  </borders>
  <cellStyleXfs count="22">
    <xf numFmtId="0" fontId="0" fillId="0" borderId="0"/>
    <xf numFmtId="44" fontId="3" fillId="0" borderId="0" applyFont="0" applyFill="0" applyBorder="0" applyAlignment="0" applyProtection="0"/>
    <xf numFmtId="43" fontId="3" fillId="0" borderId="0" applyFont="0" applyFill="0" applyBorder="0" applyAlignment="0" applyProtection="0"/>
    <xf numFmtId="9" fontId="3" fillId="0" borderId="0" applyFont="0" applyFill="0" applyBorder="0" applyAlignment="0" applyProtection="0"/>
    <xf numFmtId="43" fontId="1" fillId="0" borderId="0" applyFont="0" applyFill="0" applyBorder="0" applyAlignment="0" applyProtection="0"/>
    <xf numFmtId="43" fontId="4" fillId="0" borderId="0" applyFont="0" applyFill="0" applyBorder="0" applyAlignment="0" applyProtection="0"/>
    <xf numFmtId="43" fontId="4" fillId="0" borderId="0" applyFont="0" applyFill="0" applyBorder="0" applyAlignment="0" applyProtection="0"/>
    <xf numFmtId="44" fontId="4" fillId="0" borderId="0" applyFont="0" applyFill="0" applyBorder="0" applyAlignment="0" applyProtection="0"/>
    <xf numFmtId="44" fontId="4" fillId="0" borderId="0" applyFont="0" applyFill="0" applyBorder="0" applyAlignment="0" applyProtection="0"/>
    <xf numFmtId="0" fontId="4" fillId="0" borderId="0"/>
    <xf numFmtId="0" fontId="5" fillId="0" borderId="0"/>
    <xf numFmtId="0" fontId="5" fillId="0" borderId="0"/>
    <xf numFmtId="0" fontId="5" fillId="0" borderId="0"/>
    <xf numFmtId="9" fontId="4" fillId="0" borderId="0" applyFont="0" applyFill="0" applyBorder="0" applyAlignment="0" applyProtection="0"/>
    <xf numFmtId="9" fontId="4" fillId="0" borderId="0" applyFont="0" applyFill="0" applyBorder="0" applyAlignment="0" applyProtection="0"/>
    <xf numFmtId="44" fontId="1" fillId="0" borderId="0" applyFont="0" applyFill="0" applyBorder="0" applyAlignment="0" applyProtection="0"/>
    <xf numFmtId="9" fontId="1" fillId="0" borderId="0" applyFont="0" applyFill="0" applyBorder="0" applyAlignment="0" applyProtection="0"/>
    <xf numFmtId="44" fontId="1" fillId="0" borderId="0" applyFont="0" applyFill="0" applyBorder="0" applyAlignment="0" applyProtection="0"/>
    <xf numFmtId="0" fontId="16" fillId="0" borderId="0"/>
    <xf numFmtId="44" fontId="16" fillId="0" borderId="0" applyFont="0" applyFill="0" applyBorder="0" applyAlignment="0" applyProtection="0"/>
    <xf numFmtId="9" fontId="16" fillId="0" borderId="0" applyFont="0" applyFill="0" applyBorder="0" applyAlignment="0" applyProtection="0"/>
    <xf numFmtId="43" fontId="1" fillId="0" borderId="0" applyFont="0" applyFill="0" applyBorder="0" applyAlignment="0" applyProtection="0"/>
  </cellStyleXfs>
  <cellXfs count="254">
    <xf numFmtId="0" fontId="0" fillId="0" borderId="0" xfId="0"/>
    <xf numFmtId="5" fontId="0" fillId="0" borderId="0" xfId="15" applyNumberFormat="1" applyFont="1" applyAlignment="1">
      <alignment horizontal="right"/>
    </xf>
    <xf numFmtId="0" fontId="0" fillId="0" borderId="0" xfId="0" applyAlignment="1">
      <alignment horizontal="right"/>
    </xf>
    <xf numFmtId="0" fontId="0" fillId="0" borderId="0" xfId="0" applyAlignment="1">
      <alignment vertical="center"/>
    </xf>
    <xf numFmtId="0" fontId="0" fillId="0" borderId="0" xfId="0" applyAlignment="1">
      <alignment wrapText="1"/>
    </xf>
    <xf numFmtId="5" fontId="0" fillId="2" borderId="5" xfId="15" applyNumberFormat="1" applyFont="1" applyFill="1" applyBorder="1" applyAlignment="1">
      <alignment horizontal="right"/>
    </xf>
    <xf numFmtId="0" fontId="0" fillId="0" borderId="0" xfId="0" applyFill="1" applyAlignment="1">
      <alignment horizontal="right"/>
    </xf>
    <xf numFmtId="5" fontId="6" fillId="0" borderId="0" xfId="15" applyNumberFormat="1" applyFont="1" applyAlignment="1">
      <alignment horizontal="right"/>
    </xf>
    <xf numFmtId="0" fontId="0" fillId="0" borderId="0" xfId="0" applyAlignment="1">
      <alignment wrapText="1"/>
    </xf>
    <xf numFmtId="0" fontId="0" fillId="0" borderId="0" xfId="0" applyAlignment="1">
      <alignment horizontal="center"/>
    </xf>
    <xf numFmtId="0" fontId="0" fillId="0" borderId="5" xfId="0" applyBorder="1" applyAlignment="1">
      <alignment horizontal="center"/>
    </xf>
    <xf numFmtId="0" fontId="0" fillId="0" borderId="2" xfId="0" applyBorder="1" applyAlignment="1">
      <alignment horizontal="center"/>
    </xf>
    <xf numFmtId="0" fontId="0" fillId="0" borderId="4" xfId="0" applyBorder="1"/>
    <xf numFmtId="5" fontId="7" fillId="0" borderId="4" xfId="15" applyNumberFormat="1" applyFont="1" applyBorder="1" applyAlignment="1">
      <alignment horizontal="center" wrapText="1"/>
    </xf>
    <xf numFmtId="5" fontId="7" fillId="0" borderId="4" xfId="15" applyNumberFormat="1" applyFont="1" applyFill="1" applyBorder="1" applyAlignment="1">
      <alignment horizontal="center" wrapText="1"/>
    </xf>
    <xf numFmtId="0" fontId="7" fillId="0" borderId="4" xfId="0" applyFont="1" applyBorder="1" applyAlignment="1"/>
    <xf numFmtId="0" fontId="2" fillId="0" borderId="0" xfId="0" applyFont="1"/>
    <xf numFmtId="0" fontId="8" fillId="0" borderId="0" xfId="0" applyFont="1"/>
    <xf numFmtId="0" fontId="9" fillId="0" borderId="0" xfId="0" applyFont="1"/>
    <xf numFmtId="0" fontId="0" fillId="0" borderId="0" xfId="0" applyBorder="1" applyAlignment="1">
      <alignment horizontal="center"/>
    </xf>
    <xf numFmtId="0" fontId="0" fillId="0" borderId="0" xfId="0" applyBorder="1"/>
    <xf numFmtId="0" fontId="10" fillId="0" borderId="0" xfId="0" applyFont="1" applyAlignment="1">
      <alignment horizontal="center"/>
    </xf>
    <xf numFmtId="0" fontId="11" fillId="0" borderId="0" xfId="0" applyFont="1" applyFill="1"/>
    <xf numFmtId="0" fontId="0" fillId="0" borderId="0" xfId="0" applyFill="1"/>
    <xf numFmtId="0" fontId="0" fillId="0" borderId="0" xfId="0" applyAlignment="1"/>
    <xf numFmtId="0" fontId="0" fillId="2" borderId="4" xfId="0" applyFill="1" applyBorder="1" applyAlignment="1">
      <alignment horizontal="center"/>
    </xf>
    <xf numFmtId="5" fontId="0" fillId="3" borderId="5" xfId="15" applyNumberFormat="1" applyFont="1" applyFill="1" applyBorder="1" applyAlignment="1">
      <alignment horizontal="right"/>
    </xf>
    <xf numFmtId="5" fontId="0" fillId="4" borderId="5" xfId="15" applyNumberFormat="1" applyFont="1" applyFill="1" applyBorder="1" applyAlignment="1">
      <alignment horizontal="right"/>
    </xf>
    <xf numFmtId="5" fontId="0" fillId="4" borderId="5" xfId="0" applyNumberFormat="1" applyFill="1" applyBorder="1" applyAlignment="1">
      <alignment horizontal="right"/>
    </xf>
    <xf numFmtId="0" fontId="0" fillId="4" borderId="0" xfId="0" applyFill="1"/>
    <xf numFmtId="0" fontId="12" fillId="4" borderId="0" xfId="0" applyFont="1" applyFill="1"/>
    <xf numFmtId="0" fontId="13" fillId="4" borderId="0" xfId="0" applyFont="1" applyFill="1"/>
    <xf numFmtId="0" fontId="7" fillId="0" borderId="4" xfId="0" applyFont="1" applyBorder="1" applyAlignment="1">
      <alignment horizontal="center"/>
    </xf>
    <xf numFmtId="0" fontId="0" fillId="3" borderId="5" xfId="0" applyFill="1" applyBorder="1" applyAlignment="1">
      <alignment horizontal="center"/>
    </xf>
    <xf numFmtId="0" fontId="0" fillId="3" borderId="5" xfId="0" applyFill="1" applyBorder="1" applyAlignment="1">
      <alignment horizontal="center" vertical="center"/>
    </xf>
    <xf numFmtId="9" fontId="0" fillId="3" borderId="3" xfId="16" applyFont="1" applyFill="1" applyBorder="1" applyAlignment="1">
      <alignment horizontal="center"/>
    </xf>
    <xf numFmtId="9" fontId="0" fillId="2" borderId="3" xfId="16" applyFont="1" applyFill="1" applyBorder="1" applyAlignment="1">
      <alignment horizontal="center"/>
    </xf>
    <xf numFmtId="7" fontId="6" fillId="0" borderId="0" xfId="15" applyNumberFormat="1" applyFont="1" applyAlignment="1">
      <alignment horizontal="right"/>
    </xf>
    <xf numFmtId="0" fontId="6" fillId="0" borderId="0" xfId="0" applyFont="1" applyFill="1" applyAlignment="1">
      <alignment horizontal="right"/>
    </xf>
    <xf numFmtId="7" fontId="6" fillId="0" borderId="0" xfId="0" applyNumberFormat="1" applyFont="1" applyAlignment="1">
      <alignment horizontal="right"/>
    </xf>
    <xf numFmtId="0" fontId="6" fillId="0" borderId="0" xfId="0" applyFont="1" applyAlignment="1">
      <alignment horizontal="right"/>
    </xf>
    <xf numFmtId="0" fontId="0" fillId="0" borderId="0" xfId="0" applyAlignment="1">
      <alignment horizontal="center"/>
    </xf>
    <xf numFmtId="0" fontId="0" fillId="4" borderId="0" xfId="0" applyFill="1" applyAlignment="1">
      <alignment horizontal="center"/>
    </xf>
    <xf numFmtId="0" fontId="0" fillId="4" borderId="0" xfId="0" applyFill="1" applyAlignment="1">
      <alignment horizontal="center"/>
    </xf>
    <xf numFmtId="0" fontId="0" fillId="3" borderId="0" xfId="0" applyFill="1"/>
    <xf numFmtId="0" fontId="0" fillId="3" borderId="0" xfId="0" applyFill="1"/>
    <xf numFmtId="14" fontId="0" fillId="3" borderId="0" xfId="0" applyNumberFormat="1" applyFill="1" applyAlignment="1">
      <alignment horizontal="center"/>
    </xf>
    <xf numFmtId="39" fontId="0" fillId="0" borderId="0" xfId="0" applyNumberFormat="1"/>
    <xf numFmtId="0" fontId="0" fillId="0" borderId="0" xfId="0" applyFill="1" applyAlignment="1">
      <alignment horizontal="center"/>
    </xf>
    <xf numFmtId="39" fontId="0" fillId="4" borderId="0" xfId="0" applyNumberFormat="1" applyFill="1"/>
    <xf numFmtId="39" fontId="6" fillId="0" borderId="0" xfId="0" applyNumberFormat="1" applyFont="1"/>
    <xf numFmtId="164" fontId="0" fillId="3" borderId="0" xfId="16" applyNumberFormat="1" applyFont="1" applyFill="1" applyAlignment="1"/>
    <xf numFmtId="164" fontId="0" fillId="4" borderId="0" xfId="0" applyNumberFormat="1" applyFill="1"/>
    <xf numFmtId="0" fontId="12" fillId="6" borderId="0" xfId="0" applyFont="1" applyFill="1"/>
    <xf numFmtId="0" fontId="0" fillId="6" borderId="0" xfId="0" applyFill="1"/>
    <xf numFmtId="5" fontId="7" fillId="5" borderId="4" xfId="15" applyNumberFormat="1" applyFont="1" applyFill="1" applyBorder="1" applyAlignment="1">
      <alignment horizontal="center" wrapText="1"/>
    </xf>
    <xf numFmtId="5" fontId="0" fillId="5" borderId="5" xfId="15" applyNumberFormat="1" applyFont="1" applyFill="1" applyBorder="1" applyAlignment="1">
      <alignment horizontal="right"/>
    </xf>
    <xf numFmtId="5" fontId="7" fillId="6" borderId="4" xfId="15" applyNumberFormat="1" applyFont="1" applyFill="1" applyBorder="1" applyAlignment="1">
      <alignment horizontal="center" wrapText="1"/>
    </xf>
    <xf numFmtId="5" fontId="0" fillId="6" borderId="5" xfId="0" applyNumberFormat="1" applyFill="1" applyBorder="1" applyAlignment="1">
      <alignment horizontal="right"/>
    </xf>
    <xf numFmtId="164" fontId="0" fillId="0" borderId="0" xfId="0" applyNumberFormat="1" applyFill="1"/>
    <xf numFmtId="39" fontId="0" fillId="0" borderId="0" xfId="0" applyNumberFormat="1" applyFill="1"/>
    <xf numFmtId="39" fontId="6" fillId="0" borderId="0" xfId="0" applyNumberFormat="1" applyFont="1" applyFill="1"/>
    <xf numFmtId="0" fontId="14" fillId="5" borderId="8" xfId="0" applyFont="1" applyFill="1" applyBorder="1"/>
    <xf numFmtId="0" fontId="0" fillId="5" borderId="9" xfId="0" applyFill="1" applyBorder="1"/>
    <xf numFmtId="0" fontId="14" fillId="5" borderId="10" xfId="0" applyFont="1" applyFill="1" applyBorder="1"/>
    <xf numFmtId="0" fontId="0" fillId="5" borderId="11" xfId="0" applyFill="1" applyBorder="1"/>
    <xf numFmtId="0" fontId="14" fillId="5" borderId="6" xfId="0" applyFont="1" applyFill="1" applyBorder="1"/>
    <xf numFmtId="0" fontId="0" fillId="5" borderId="7" xfId="0" applyFill="1" applyBorder="1"/>
    <xf numFmtId="7" fontId="6" fillId="0" borderId="0" xfId="15" applyNumberFormat="1" applyFont="1" applyAlignment="1">
      <alignment horizontal="right"/>
    </xf>
    <xf numFmtId="7" fontId="6" fillId="0" borderId="0" xfId="0" applyNumberFormat="1" applyFont="1"/>
    <xf numFmtId="39" fontId="0" fillId="3" borderId="0" xfId="0" applyNumberFormat="1" applyFill="1"/>
    <xf numFmtId="164" fontId="6" fillId="0" borderId="0" xfId="0" applyNumberFormat="1" applyFont="1"/>
    <xf numFmtId="5" fontId="7" fillId="0" borderId="0" xfId="15" applyNumberFormat="1" applyFont="1" applyFill="1" applyBorder="1" applyAlignment="1">
      <alignment horizontal="center" wrapText="1"/>
    </xf>
    <xf numFmtId="5" fontId="0" fillId="0" borderId="0" xfId="0" applyNumberFormat="1" applyFill="1" applyBorder="1" applyAlignment="1">
      <alignment horizontal="right"/>
    </xf>
    <xf numFmtId="164" fontId="0" fillId="0" borderId="0" xfId="0" applyNumberFormat="1"/>
    <xf numFmtId="0" fontId="0" fillId="0" borderId="0" xfId="0" applyFill="1" applyBorder="1" applyAlignment="1">
      <alignment horizontal="center"/>
    </xf>
    <xf numFmtId="0" fontId="13" fillId="0" borderId="0" xfId="0" applyFont="1" applyFill="1"/>
    <xf numFmtId="0" fontId="0" fillId="0" borderId="0" xfId="0" applyFill="1" applyBorder="1"/>
    <xf numFmtId="0" fontId="2" fillId="0" borderId="0" xfId="0" applyFont="1" applyFill="1"/>
    <xf numFmtId="5" fontId="14" fillId="0" borderId="2" xfId="15" applyNumberFormat="1" applyFont="1" applyFill="1" applyBorder="1" applyAlignment="1">
      <alignment horizontal="right"/>
    </xf>
    <xf numFmtId="5" fontId="0" fillId="0" borderId="0" xfId="15" applyNumberFormat="1" applyFont="1" applyFill="1" applyBorder="1" applyAlignment="1">
      <alignment horizontal="right"/>
    </xf>
    <xf numFmtId="0" fontId="0" fillId="0" borderId="0" xfId="0" quotePrefix="1" applyAlignment="1">
      <alignment vertical="top" wrapText="1"/>
    </xf>
    <xf numFmtId="0" fontId="0" fillId="7" borderId="12" xfId="0" applyFill="1" applyBorder="1"/>
    <xf numFmtId="0" fontId="0" fillId="7" borderId="7" xfId="0" applyFill="1" applyBorder="1"/>
    <xf numFmtId="0" fontId="0" fillId="7" borderId="8" xfId="0" applyFill="1" applyBorder="1"/>
    <xf numFmtId="0" fontId="0" fillId="7" borderId="0" xfId="0" applyFill="1" applyBorder="1"/>
    <xf numFmtId="0" fontId="0" fillId="7" borderId="9" xfId="0" applyFill="1" applyBorder="1"/>
    <xf numFmtId="39" fontId="0" fillId="7" borderId="0" xfId="0" applyNumberFormat="1" applyFill="1" applyBorder="1"/>
    <xf numFmtId="0" fontId="0" fillId="7" borderId="10" xfId="0" applyFill="1" applyBorder="1"/>
    <xf numFmtId="0" fontId="0" fillId="7" borderId="4" xfId="0" applyFill="1" applyBorder="1"/>
    <xf numFmtId="0" fontId="0" fillId="7" borderId="11" xfId="0" applyFill="1" applyBorder="1"/>
    <xf numFmtId="0" fontId="15" fillId="7" borderId="8" xfId="0" applyFont="1" applyFill="1" applyBorder="1"/>
    <xf numFmtId="0" fontId="2" fillId="7" borderId="6" xfId="0" applyFont="1" applyFill="1" applyBorder="1"/>
    <xf numFmtId="0" fontId="0" fillId="8" borderId="0" xfId="0" applyFill="1"/>
    <xf numFmtId="0" fontId="2" fillId="9" borderId="6" xfId="0" applyFont="1" applyFill="1" applyBorder="1"/>
    <xf numFmtId="0" fontId="0" fillId="9" borderId="12" xfId="0" applyFill="1" applyBorder="1"/>
    <xf numFmtId="0" fontId="0" fillId="9" borderId="7" xfId="0" applyFill="1" applyBorder="1"/>
    <xf numFmtId="0" fontId="0" fillId="9" borderId="8" xfId="0" applyFill="1" applyBorder="1"/>
    <xf numFmtId="0" fontId="0" fillId="9" borderId="0" xfId="0" applyFill="1" applyBorder="1"/>
    <xf numFmtId="0" fontId="0" fillId="9" borderId="9" xfId="0" applyFill="1" applyBorder="1"/>
    <xf numFmtId="37" fontId="0" fillId="9" borderId="9" xfId="0" applyNumberFormat="1" applyFill="1" applyBorder="1"/>
    <xf numFmtId="39" fontId="0" fillId="9" borderId="9" xfId="0" applyNumberFormat="1" applyFill="1" applyBorder="1"/>
    <xf numFmtId="0" fontId="0" fillId="9" borderId="10" xfId="0" applyFill="1" applyBorder="1"/>
    <xf numFmtId="0" fontId="0" fillId="9" borderId="4" xfId="0" applyFill="1" applyBorder="1"/>
    <xf numFmtId="0" fontId="0" fillId="9" borderId="11" xfId="0" applyFill="1" applyBorder="1"/>
    <xf numFmtId="0" fontId="2" fillId="6" borderId="6" xfId="0" applyFont="1" applyFill="1" applyBorder="1"/>
    <xf numFmtId="0" fontId="0" fillId="6" borderId="12" xfId="0" applyFill="1" applyBorder="1"/>
    <xf numFmtId="0" fontId="0" fillId="6" borderId="7" xfId="0" applyFill="1" applyBorder="1"/>
    <xf numFmtId="0" fontId="0" fillId="6" borderId="8" xfId="0" applyFill="1" applyBorder="1"/>
    <xf numFmtId="0" fontId="0" fillId="6" borderId="0" xfId="0" applyFill="1" applyBorder="1"/>
    <xf numFmtId="0" fontId="0" fillId="6" borderId="9" xfId="0" applyFill="1" applyBorder="1"/>
    <xf numFmtId="0" fontId="0" fillId="6" borderId="10" xfId="0" applyFill="1" applyBorder="1"/>
    <xf numFmtId="0" fontId="0" fillId="6" borderId="4" xfId="0" applyFill="1" applyBorder="1"/>
    <xf numFmtId="0" fontId="0" fillId="6" borderId="11" xfId="0" applyFill="1" applyBorder="1"/>
    <xf numFmtId="0" fontId="15" fillId="9" borderId="8" xfId="0" applyFont="1" applyFill="1" applyBorder="1"/>
    <xf numFmtId="0" fontId="15" fillId="6" borderId="8" xfId="0" applyFont="1" applyFill="1" applyBorder="1"/>
    <xf numFmtId="39" fontId="0" fillId="6" borderId="0" xfId="0" applyNumberFormat="1" applyFill="1" applyBorder="1"/>
    <xf numFmtId="164" fontId="0" fillId="6" borderId="0" xfId="0" applyNumberFormat="1" applyFill="1" applyBorder="1"/>
    <xf numFmtId="39" fontId="0" fillId="6" borderId="4" xfId="0" applyNumberFormat="1" applyFill="1" applyBorder="1"/>
    <xf numFmtId="0" fontId="0" fillId="3" borderId="0" xfId="0" applyFill="1"/>
    <xf numFmtId="7" fontId="6" fillId="0" borderId="0" xfId="15" applyNumberFormat="1" applyFont="1" applyAlignment="1">
      <alignment horizontal="right"/>
    </xf>
    <xf numFmtId="39" fontId="6" fillId="0" borderId="0" xfId="0" applyNumberFormat="1" applyFont="1" applyAlignment="1">
      <alignment horizontal="right"/>
    </xf>
    <xf numFmtId="0" fontId="6" fillId="0" borderId="0" xfId="0" applyFont="1" applyFill="1"/>
    <xf numFmtId="39" fontId="0" fillId="0" borderId="0" xfId="0" applyNumberFormat="1" applyFill="1" applyBorder="1"/>
    <xf numFmtId="0" fontId="12" fillId="0" borderId="0" xfId="0" applyFont="1" applyFill="1"/>
    <xf numFmtId="0" fontId="6" fillId="0" borderId="0" xfId="0" applyFont="1"/>
    <xf numFmtId="0" fontId="16" fillId="0" borderId="0" xfId="18"/>
    <xf numFmtId="0" fontId="8" fillId="0" borderId="0" xfId="18" applyFont="1"/>
    <xf numFmtId="0" fontId="16" fillId="0" borderId="0" xfId="18" applyAlignment="1">
      <alignment horizontal="right"/>
    </xf>
    <xf numFmtId="0" fontId="14" fillId="5" borderId="6" xfId="18" applyFont="1" applyFill="1" applyBorder="1"/>
    <xf numFmtId="0" fontId="14" fillId="5" borderId="10" xfId="18" applyFont="1" applyFill="1" applyBorder="1"/>
    <xf numFmtId="10" fontId="0" fillId="4" borderId="0" xfId="20" applyNumberFormat="1" applyFont="1" applyFill="1"/>
    <xf numFmtId="0" fontId="9" fillId="4" borderId="1" xfId="18" applyFont="1" applyFill="1" applyBorder="1" applyAlignment="1">
      <alignment vertical="center"/>
    </xf>
    <xf numFmtId="0" fontId="16" fillId="4" borderId="2" xfId="18" applyFill="1" applyBorder="1"/>
    <xf numFmtId="0" fontId="16" fillId="4" borderId="3" xfId="18" applyFill="1" applyBorder="1"/>
    <xf numFmtId="165" fontId="0" fillId="4" borderId="8" xfId="19" applyNumberFormat="1" applyFont="1" applyFill="1" applyBorder="1"/>
    <xf numFmtId="0" fontId="16" fillId="4" borderId="0" xfId="18" applyFill="1" applyBorder="1"/>
    <xf numFmtId="0" fontId="16" fillId="4" borderId="9" xfId="18" applyFill="1" applyBorder="1"/>
    <xf numFmtId="165" fontId="16" fillId="4" borderId="8" xfId="18" applyNumberFormat="1" applyFill="1" applyBorder="1"/>
    <xf numFmtId="5" fontId="0" fillId="0" borderId="0" xfId="19" applyNumberFormat="1" applyFont="1" applyFill="1" applyProtection="1">
      <protection locked="0"/>
    </xf>
    <xf numFmtId="0" fontId="14" fillId="0" borderId="0" xfId="18" applyFont="1" applyFill="1" applyBorder="1"/>
    <xf numFmtId="0" fontId="16" fillId="0" borderId="0" xfId="18" applyFill="1" applyBorder="1"/>
    <xf numFmtId="5" fontId="0" fillId="3" borderId="0" xfId="19" applyNumberFormat="1" applyFont="1" applyFill="1" applyProtection="1">
      <protection locked="0"/>
    </xf>
    <xf numFmtId="0" fontId="16" fillId="3" borderId="0" xfId="18" applyFill="1" applyAlignment="1" applyProtection="1">
      <alignment horizontal="left"/>
      <protection locked="0"/>
    </xf>
    <xf numFmtId="5" fontId="13" fillId="4" borderId="0" xfId="19" applyNumberFormat="1" applyFont="1" applyFill="1" applyProtection="1">
      <protection locked="0"/>
    </xf>
    <xf numFmtId="0" fontId="1" fillId="5" borderId="7" xfId="18" applyFont="1" applyFill="1" applyBorder="1"/>
    <xf numFmtId="0" fontId="1" fillId="5" borderId="11" xfId="18" applyFont="1" applyFill="1" applyBorder="1"/>
    <xf numFmtId="5" fontId="1" fillId="4" borderId="0" xfId="18" applyNumberFormat="1" applyFont="1" applyFill="1"/>
    <xf numFmtId="0" fontId="8" fillId="0" borderId="0" xfId="18" quotePrefix="1" applyFont="1"/>
    <xf numFmtId="165" fontId="0" fillId="4" borderId="8" xfId="17" applyNumberFormat="1" applyFont="1" applyFill="1" applyBorder="1"/>
    <xf numFmtId="165" fontId="9" fillId="4" borderId="6" xfId="18" applyNumberFormat="1" applyFont="1" applyFill="1" applyBorder="1"/>
    <xf numFmtId="0" fontId="9" fillId="4" borderId="0" xfId="18" applyFont="1" applyFill="1" applyBorder="1"/>
    <xf numFmtId="0" fontId="9" fillId="4" borderId="9" xfId="18" applyFont="1" applyFill="1" applyBorder="1"/>
    <xf numFmtId="165" fontId="9" fillId="4" borderId="10" xfId="18" applyNumberFormat="1" applyFont="1" applyFill="1" applyBorder="1"/>
    <xf numFmtId="0" fontId="9" fillId="4" borderId="4" xfId="18" applyFont="1" applyFill="1" applyBorder="1"/>
    <xf numFmtId="0" fontId="9" fillId="4" borderId="11" xfId="18" applyFont="1" applyFill="1" applyBorder="1"/>
    <xf numFmtId="165" fontId="2" fillId="4" borderId="6" xfId="19" applyNumberFormat="1" applyFont="1" applyFill="1" applyBorder="1"/>
    <xf numFmtId="39" fontId="0" fillId="7" borderId="9" xfId="0" applyNumberFormat="1" applyFill="1" applyBorder="1"/>
    <xf numFmtId="39" fontId="0" fillId="6" borderId="9" xfId="0" applyNumberFormat="1" applyFill="1" applyBorder="1"/>
    <xf numFmtId="164" fontId="0" fillId="6" borderId="9" xfId="0" applyNumberFormat="1" applyFill="1" applyBorder="1"/>
    <xf numFmtId="9" fontId="0" fillId="2" borderId="5" xfId="15" applyNumberFormat="1" applyFont="1" applyFill="1" applyBorder="1" applyAlignment="1">
      <alignment horizontal="right"/>
    </xf>
    <xf numFmtId="0" fontId="0" fillId="0" borderId="0" xfId="0" applyAlignment="1">
      <alignment wrapText="1"/>
    </xf>
    <xf numFmtId="0" fontId="0" fillId="0" borderId="0" xfId="0" quotePrefix="1" applyAlignment="1">
      <alignment vertical="top" wrapText="1"/>
    </xf>
    <xf numFmtId="0" fontId="6" fillId="0" borderId="0" xfId="0" applyFont="1" applyAlignment="1">
      <alignment wrapText="1"/>
    </xf>
    <xf numFmtId="0" fontId="2" fillId="0" borderId="0" xfId="0" applyFont="1" applyAlignment="1">
      <alignment horizontal="right"/>
    </xf>
    <xf numFmtId="10" fontId="0" fillId="5" borderId="5" xfId="16" applyNumberFormat="1" applyFont="1" applyFill="1" applyBorder="1" applyAlignment="1">
      <alignment horizontal="right"/>
    </xf>
    <xf numFmtId="5" fontId="0" fillId="0" borderId="0" xfId="0" applyNumberFormat="1" applyFill="1" applyBorder="1" applyAlignment="1">
      <alignment horizontal="left"/>
    </xf>
    <xf numFmtId="5" fontId="0" fillId="0" borderId="0" xfId="0" applyNumberFormat="1"/>
    <xf numFmtId="7" fontId="0" fillId="0" borderId="0" xfId="0" applyNumberFormat="1"/>
    <xf numFmtId="0" fontId="0" fillId="3" borderId="0" xfId="0" applyFill="1"/>
    <xf numFmtId="43" fontId="0" fillId="0" borderId="0" xfId="21" applyFont="1"/>
    <xf numFmtId="0" fontId="0" fillId="10" borderId="12" xfId="0" applyFill="1" applyBorder="1"/>
    <xf numFmtId="0" fontId="0" fillId="10" borderId="7" xfId="0" applyFill="1" applyBorder="1"/>
    <xf numFmtId="0" fontId="0" fillId="10" borderId="8" xfId="0" applyFill="1" applyBorder="1"/>
    <xf numFmtId="0" fontId="0" fillId="10" borderId="0" xfId="0" applyFill="1" applyBorder="1"/>
    <xf numFmtId="0" fontId="0" fillId="10" borderId="9" xfId="0" applyFill="1" applyBorder="1"/>
    <xf numFmtId="0" fontId="0" fillId="10" borderId="0" xfId="0" applyFont="1" applyFill="1" applyBorder="1" applyAlignment="1">
      <alignment horizontal="left"/>
    </xf>
    <xf numFmtId="43" fontId="0" fillId="10" borderId="0" xfId="21" applyFont="1" applyFill="1" applyBorder="1"/>
    <xf numFmtId="0" fontId="0" fillId="10" borderId="0" xfId="0" applyFill="1" applyBorder="1" applyAlignment="1">
      <alignment horizontal="left"/>
    </xf>
    <xf numFmtId="0" fontId="0" fillId="10" borderId="10" xfId="0" applyFill="1" applyBorder="1"/>
    <xf numFmtId="0" fontId="0" fillId="10" borderId="4" xfId="0" applyFill="1" applyBorder="1"/>
    <xf numFmtId="43" fontId="0" fillId="10" borderId="4" xfId="21" applyFont="1" applyFill="1" applyBorder="1"/>
    <xf numFmtId="0" fontId="0" fillId="10" borderId="11" xfId="0" applyFill="1" applyBorder="1"/>
    <xf numFmtId="0" fontId="2" fillId="10" borderId="6" xfId="0" applyFont="1" applyFill="1" applyBorder="1"/>
    <xf numFmtId="0" fontId="0" fillId="0" borderId="0" xfId="0" applyFill="1" applyBorder="1" applyAlignment="1">
      <alignment wrapText="1"/>
    </xf>
    <xf numFmtId="10" fontId="6" fillId="0" borderId="0" xfId="16" applyNumberFormat="1" applyFont="1"/>
    <xf numFmtId="43" fontId="18" fillId="0" borderId="5" xfId="21" applyFont="1" applyFill="1" applyBorder="1"/>
    <xf numFmtId="0" fontId="19" fillId="0" borderId="0" xfId="0" applyFont="1" applyAlignment="1">
      <alignment vertical="top" wrapText="1"/>
    </xf>
    <xf numFmtId="0" fontId="0" fillId="9" borderId="4" xfId="0" applyFill="1" applyBorder="1" applyAlignment="1">
      <alignment horizontal="right"/>
    </xf>
    <xf numFmtId="0" fontId="0" fillId="9" borderId="6" xfId="0" applyFill="1" applyBorder="1"/>
    <xf numFmtId="0" fontId="2" fillId="9" borderId="12" xfId="0" applyFont="1" applyFill="1" applyBorder="1"/>
    <xf numFmtId="0" fontId="0" fillId="9" borderId="0" xfId="0" applyFill="1" applyBorder="1" applyAlignment="1">
      <alignment horizontal="right"/>
    </xf>
    <xf numFmtId="166" fontId="0" fillId="9" borderId="0" xfId="21" applyNumberFormat="1" applyFont="1" applyFill="1" applyBorder="1"/>
    <xf numFmtId="43" fontId="0" fillId="9" borderId="0" xfId="21" applyFont="1" applyFill="1" applyBorder="1"/>
    <xf numFmtId="164" fontId="0" fillId="0" borderId="0" xfId="0" applyNumberFormat="1" applyAlignment="1">
      <alignment horizontal="center"/>
    </xf>
    <xf numFmtId="167" fontId="0" fillId="0" borderId="0" xfId="0" applyNumberFormat="1"/>
    <xf numFmtId="0" fontId="6" fillId="0" borderId="0" xfId="0" applyFont="1" applyAlignment="1">
      <alignment horizontal="center"/>
    </xf>
    <xf numFmtId="43" fontId="6" fillId="0" borderId="0" xfId="21" applyFont="1"/>
    <xf numFmtId="0" fontId="6" fillId="0" borderId="0" xfId="0" applyFont="1" applyAlignment="1">
      <alignment horizontal="left"/>
    </xf>
    <xf numFmtId="0" fontId="0" fillId="2" borderId="5" xfId="0" applyFill="1" applyBorder="1" applyAlignment="1">
      <alignment horizontal="center" vertical="center"/>
    </xf>
    <xf numFmtId="0" fontId="2" fillId="0" borderId="0" xfId="0" applyFont="1" applyAlignment="1">
      <alignment horizontal="center"/>
    </xf>
    <xf numFmtId="17" fontId="2" fillId="0" borderId="0" xfId="0" applyNumberFormat="1" applyFont="1"/>
    <xf numFmtId="166" fontId="0" fillId="0" borderId="0" xfId="21" applyNumberFormat="1" applyFont="1"/>
    <xf numFmtId="167" fontId="0" fillId="3" borderId="0" xfId="0" applyNumberFormat="1" applyFill="1"/>
    <xf numFmtId="14" fontId="0" fillId="3" borderId="0" xfId="0" applyNumberFormat="1" applyFill="1"/>
    <xf numFmtId="166" fontId="2" fillId="3" borderId="0" xfId="21" applyNumberFormat="1" applyFont="1" applyFill="1"/>
    <xf numFmtId="10" fontId="0" fillId="11" borderId="0" xfId="16" applyNumberFormat="1" applyFont="1" applyFill="1"/>
    <xf numFmtId="0" fontId="0" fillId="0" borderId="0" xfId="0" applyFill="1" applyBorder="1" applyAlignment="1">
      <alignment vertical="center"/>
    </xf>
    <xf numFmtId="0" fontId="0" fillId="0" borderId="0" xfId="0" applyFill="1" applyBorder="1" applyAlignment="1">
      <alignment horizontal="center" vertical="center"/>
    </xf>
    <xf numFmtId="9" fontId="0" fillId="0" borderId="0" xfId="16" applyFont="1" applyFill="1" applyBorder="1" applyAlignment="1">
      <alignment horizontal="center"/>
    </xf>
    <xf numFmtId="0" fontId="0" fillId="0" borderId="13" xfId="0" applyBorder="1"/>
    <xf numFmtId="0" fontId="0" fillId="2" borderId="0" xfId="0" applyFill="1"/>
    <xf numFmtId="0" fontId="0" fillId="0" borderId="14" xfId="0" applyFill="1" applyBorder="1"/>
    <xf numFmtId="0" fontId="2" fillId="0" borderId="0" xfId="0" applyFont="1" applyFill="1" applyAlignment="1">
      <alignment vertical="center"/>
    </xf>
    <xf numFmtId="0" fontId="0" fillId="4" borderId="6" xfId="0" applyFill="1" applyBorder="1"/>
    <xf numFmtId="0" fontId="0" fillId="4" borderId="12" xfId="0" applyFill="1" applyBorder="1"/>
    <xf numFmtId="0" fontId="0" fillId="4" borderId="10" xfId="0" applyFill="1" applyBorder="1"/>
    <xf numFmtId="0" fontId="0" fillId="4" borderId="4" xfId="0" applyFill="1" applyBorder="1"/>
    <xf numFmtId="0" fontId="2" fillId="4" borderId="7" xfId="0" applyFont="1" applyFill="1" applyBorder="1"/>
    <xf numFmtId="0" fontId="2" fillId="4" borderId="11" xfId="0" applyFont="1" applyFill="1" applyBorder="1"/>
    <xf numFmtId="166" fontId="0" fillId="9" borderId="4" xfId="21" applyNumberFormat="1" applyFont="1" applyFill="1" applyBorder="1"/>
    <xf numFmtId="43" fontId="0" fillId="9" borderId="4" xfId="21" applyFont="1" applyFill="1" applyBorder="1"/>
    <xf numFmtId="0" fontId="0" fillId="0" borderId="0" xfId="0" applyAlignment="1">
      <alignment wrapText="1"/>
    </xf>
    <xf numFmtId="5" fontId="7" fillId="5" borderId="4" xfId="15" applyNumberFormat="1" applyFont="1" applyFill="1" applyBorder="1" applyAlignment="1">
      <alignment horizontal="center" wrapText="1"/>
    </xf>
    <xf numFmtId="5" fontId="0" fillId="5" borderId="1" xfId="15" applyNumberFormat="1" applyFont="1" applyFill="1" applyBorder="1" applyAlignment="1">
      <alignment horizontal="right"/>
    </xf>
    <xf numFmtId="5" fontId="0" fillId="5" borderId="3" xfId="15" applyNumberFormat="1" applyFont="1" applyFill="1" applyBorder="1" applyAlignment="1">
      <alignment horizontal="right"/>
    </xf>
    <xf numFmtId="0" fontId="0" fillId="2" borderId="4" xfId="0" applyFill="1" applyBorder="1" applyAlignment="1">
      <alignment horizontal="left"/>
    </xf>
    <xf numFmtId="0" fontId="0" fillId="2" borderId="4" xfId="0" applyFill="1" applyBorder="1"/>
    <xf numFmtId="0" fontId="0" fillId="0" borderId="0" xfId="0" quotePrefix="1" applyAlignment="1">
      <alignment vertical="top" wrapText="1"/>
    </xf>
    <xf numFmtId="0" fontId="0" fillId="2" borderId="1" xfId="0" applyFill="1" applyBorder="1" applyAlignment="1">
      <alignment vertical="center"/>
    </xf>
    <xf numFmtId="0" fontId="0" fillId="2" borderId="3" xfId="0" applyFill="1" applyBorder="1" applyAlignment="1">
      <alignment vertical="center"/>
    </xf>
    <xf numFmtId="5" fontId="2" fillId="5" borderId="1" xfId="15" applyNumberFormat="1" applyFont="1" applyFill="1" applyBorder="1" applyAlignment="1">
      <alignment wrapText="1"/>
    </xf>
    <xf numFmtId="5" fontId="2" fillId="5" borderId="3" xfId="15" applyNumberFormat="1" applyFont="1" applyFill="1" applyBorder="1" applyAlignment="1">
      <alignment wrapText="1"/>
    </xf>
    <xf numFmtId="0" fontId="0" fillId="3" borderId="0" xfId="0" applyFill="1"/>
    <xf numFmtId="0" fontId="19" fillId="0" borderId="0" xfId="0" applyFont="1" applyAlignment="1">
      <alignment vertical="center" wrapText="1"/>
    </xf>
    <xf numFmtId="0" fontId="0" fillId="3" borderId="1" xfId="0" applyFill="1" applyBorder="1"/>
    <xf numFmtId="0" fontId="0" fillId="3" borderId="2" xfId="0" applyFill="1" applyBorder="1"/>
    <xf numFmtId="0" fontId="0" fillId="3" borderId="3" xfId="0" applyFill="1" applyBorder="1"/>
    <xf numFmtId="5" fontId="7" fillId="0" borderId="4" xfId="15" applyNumberFormat="1" applyFont="1" applyFill="1" applyBorder="1" applyAlignment="1">
      <alignment horizontal="center" wrapText="1"/>
    </xf>
    <xf numFmtId="7" fontId="6" fillId="0" borderId="0" xfId="15" applyNumberFormat="1" applyFont="1" applyAlignment="1">
      <alignment horizontal="right"/>
    </xf>
    <xf numFmtId="0" fontId="0" fillId="3" borderId="1" xfId="0" applyFill="1" applyBorder="1" applyAlignment="1">
      <alignment vertical="center"/>
    </xf>
    <xf numFmtId="0" fontId="0" fillId="3" borderId="3" xfId="0" applyFill="1" applyBorder="1" applyAlignment="1">
      <alignment vertical="center"/>
    </xf>
    <xf numFmtId="5" fontId="0" fillId="4" borderId="1" xfId="15" applyNumberFormat="1" applyFont="1" applyFill="1" applyBorder="1" applyAlignment="1">
      <alignment horizontal="right"/>
    </xf>
    <xf numFmtId="5" fontId="0" fillId="4" borderId="3" xfId="15" applyNumberFormat="1" applyFont="1" applyFill="1" applyBorder="1" applyAlignment="1">
      <alignment horizontal="right"/>
    </xf>
    <xf numFmtId="0" fontId="6" fillId="0" borderId="0" xfId="0" applyFont="1" applyAlignment="1">
      <alignment wrapText="1"/>
    </xf>
    <xf numFmtId="0" fontId="19" fillId="0" borderId="0" xfId="0" applyFont="1" applyAlignment="1">
      <alignment vertical="top"/>
    </xf>
    <xf numFmtId="0" fontId="0" fillId="3" borderId="1" xfId="0" applyFill="1" applyBorder="1" applyAlignment="1">
      <alignment horizontal="left"/>
    </xf>
    <xf numFmtId="0" fontId="0" fillId="3" borderId="2" xfId="0" applyFill="1" applyBorder="1" applyAlignment="1">
      <alignment horizontal="left"/>
    </xf>
    <xf numFmtId="0" fontId="0" fillId="3" borderId="3" xfId="0" applyFill="1" applyBorder="1" applyAlignment="1">
      <alignment horizontal="left"/>
    </xf>
    <xf numFmtId="0" fontId="17" fillId="0" borderId="0" xfId="18" applyFont="1" applyAlignment="1">
      <alignment horizontal="center" wrapText="1"/>
    </xf>
    <xf numFmtId="5" fontId="2" fillId="5" borderId="1" xfId="15" applyNumberFormat="1" applyFont="1" applyFill="1" applyBorder="1" applyAlignment="1">
      <alignment horizontal="left" wrapText="1"/>
    </xf>
    <xf numFmtId="5" fontId="2" fillId="5" borderId="3" xfId="15" applyNumberFormat="1" applyFont="1" applyFill="1" applyBorder="1" applyAlignment="1">
      <alignment horizontal="left" wrapText="1"/>
    </xf>
    <xf numFmtId="0" fontId="16" fillId="0" borderId="0" xfId="18" applyAlignment="1">
      <alignment horizontal="right" wrapText="1"/>
    </xf>
    <xf numFmtId="0" fontId="16" fillId="0" borderId="0" xfId="18" applyAlignment="1">
      <alignment horizontal="right"/>
    </xf>
  </cellXfs>
  <cellStyles count="22">
    <cellStyle name="Comma" xfId="21" builtinId="3"/>
    <cellStyle name="Comma 2" xfId="4"/>
    <cellStyle name="Comma 2 2" xfId="5"/>
    <cellStyle name="Comma 3" xfId="2"/>
    <cellStyle name="Comma 4" xfId="6"/>
    <cellStyle name="Currency" xfId="17" builtinId="4"/>
    <cellStyle name="Currency 2" xfId="1"/>
    <cellStyle name="Currency 2 2" xfId="7"/>
    <cellStyle name="Currency 3" xfId="8"/>
    <cellStyle name="Currency 4" xfId="15"/>
    <cellStyle name="Currency 5" xfId="19"/>
    <cellStyle name="Normal" xfId="0" builtinId="0"/>
    <cellStyle name="Normal 2" xfId="9"/>
    <cellStyle name="Normal 2 2" xfId="10"/>
    <cellStyle name="Normal 3" xfId="11"/>
    <cellStyle name="Normal 4" xfId="12"/>
    <cellStyle name="Normal 5" xfId="18"/>
    <cellStyle name="Percent" xfId="16" builtinId="5"/>
    <cellStyle name="Percent 2" xfId="3"/>
    <cellStyle name="Percent 2 2" xfId="13"/>
    <cellStyle name="Percent 3" xfId="14"/>
    <cellStyle name="Percent 4" xfId="20"/>
  </cellStyles>
  <dxfs count="14">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s>
  <tableStyles count="0" defaultTableStyle="TableStyleMedium2" defaultPivotStyle="PivotStyleLight16"/>
  <colors>
    <mruColors>
      <color rgb="FFFFFFCC"/>
      <color rgb="FFEEC8C8"/>
      <color rgb="FFCCFFCC"/>
      <color rgb="FFCCFF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4" Type="http://schemas.openxmlformats.org/officeDocument/2006/relationships/worksheet" Target="worksheets/sheet4.xml"/><Relationship Id="rId5" Type="http://schemas.openxmlformats.org/officeDocument/2006/relationships/worksheet" Target="worksheets/sheet5.xml"/><Relationship Id="rId6" Type="http://schemas.openxmlformats.org/officeDocument/2006/relationships/worksheet" Target="worksheets/sheet6.xml"/><Relationship Id="rId7" Type="http://schemas.openxmlformats.org/officeDocument/2006/relationships/externalLink" Target="externalLinks/externalLink1.xml"/><Relationship Id="rId8" Type="http://schemas.openxmlformats.org/officeDocument/2006/relationships/theme" Target="theme/theme1.xml"/><Relationship Id="rId9" Type="http://schemas.openxmlformats.org/officeDocument/2006/relationships/styles" Target="styles.xml"/><Relationship Id="rId10" Type="http://schemas.openxmlformats.org/officeDocument/2006/relationships/sharedStrings" Target="sharedStrings.xml"/><Relationship Id="rId11" Type="http://schemas.openxmlformats.org/officeDocument/2006/relationships/calcChain" Target="calcChain.xml"/><Relationship Id="rId1" Type="http://schemas.openxmlformats.org/officeDocument/2006/relationships/worksheet" Target="worksheets/sheet1.xml"/><Relationship Id="rId2" Type="http://schemas.openxmlformats.org/officeDocument/2006/relationships/worksheet" Target="worksheets/sheet2.xml"/></Relationships>
</file>

<file path=xl/drawings/drawing1.xml><?xml version="1.0" encoding="utf-8"?>
<xdr:wsDr xmlns:xdr="http://schemas.openxmlformats.org/drawingml/2006/spreadsheetDrawing" xmlns:a="http://schemas.openxmlformats.org/drawingml/2006/main">
  <xdr:twoCellAnchor editAs="oneCell">
    <xdr:from>
      <xdr:col>20</xdr:col>
      <xdr:colOff>0</xdr:colOff>
      <xdr:row>2</xdr:row>
      <xdr:rowOff>0</xdr:rowOff>
    </xdr:from>
    <xdr:to>
      <xdr:col>25</xdr:col>
      <xdr:colOff>590550</xdr:colOff>
      <xdr:row>12</xdr:row>
      <xdr:rowOff>38100</xdr:rowOff>
    </xdr:to>
    <xdr:sp macro="" textlink="">
      <xdr:nvSpPr>
        <xdr:cNvPr id="2" name="TextBox 1"/>
        <xdr:cNvSpPr txBox="1"/>
      </xdr:nvSpPr>
      <xdr:spPr>
        <a:xfrm>
          <a:off x="10125075" y="485775"/>
          <a:ext cx="3638550" cy="2028825"/>
        </a:xfrm>
        <a:prstGeom prst="rect">
          <a:avLst/>
        </a:prstGeom>
        <a:solidFill>
          <a:schemeClr val="accent6">
            <a:lumMod val="40000"/>
            <a:lumOff val="6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100" b="1"/>
            <a:t>INSTRUCTIONS</a:t>
          </a:r>
        </a:p>
        <a:p>
          <a:endParaRPr lang="en-US" sz="1100"/>
        </a:p>
        <a:p>
          <a:r>
            <a:rPr lang="en-US" sz="1100"/>
            <a:t>Please enter data</a:t>
          </a:r>
          <a:r>
            <a:rPr lang="en-US" sz="1100" baseline="0"/>
            <a:t> in the gray fields.  </a:t>
          </a:r>
          <a:r>
            <a:rPr lang="en-US" sz="1100"/>
            <a:t>Values</a:t>
          </a:r>
          <a:r>
            <a:rPr lang="en-US" sz="1100" baseline="0"/>
            <a:t> entered will copy over to the salary worksheets.</a:t>
          </a:r>
        </a:p>
        <a:p>
          <a:endParaRPr lang="en-US" sz="1100" baseline="0"/>
        </a:p>
      </xdr:txBody>
    </xdr:sp>
    <xdr:clientData fPrintsWithSheet="0"/>
  </xdr:twoCellAnchor>
</xdr:wsDr>
</file>

<file path=xl/drawings/drawing2.xml><?xml version="1.0" encoding="utf-8"?>
<xdr:wsDr xmlns:xdr="http://schemas.openxmlformats.org/drawingml/2006/spreadsheetDrawing" xmlns:a="http://schemas.openxmlformats.org/drawingml/2006/main">
  <xdr:twoCellAnchor editAs="oneCell">
    <xdr:from>
      <xdr:col>16</xdr:col>
      <xdr:colOff>12701</xdr:colOff>
      <xdr:row>2</xdr:row>
      <xdr:rowOff>9525</xdr:rowOff>
    </xdr:from>
    <xdr:to>
      <xdr:col>20</xdr:col>
      <xdr:colOff>485774</xdr:colOff>
      <xdr:row>10</xdr:row>
      <xdr:rowOff>313764</xdr:rowOff>
    </xdr:to>
    <xdr:sp macro="" textlink="">
      <xdr:nvSpPr>
        <xdr:cNvPr id="2" name="TextBox 1"/>
        <xdr:cNvSpPr txBox="1"/>
      </xdr:nvSpPr>
      <xdr:spPr>
        <a:xfrm>
          <a:off x="11010901" y="504825"/>
          <a:ext cx="3962399" cy="1666875"/>
        </a:xfrm>
        <a:prstGeom prst="rect">
          <a:avLst/>
        </a:prstGeom>
        <a:solidFill>
          <a:schemeClr val="accent6">
            <a:lumMod val="40000"/>
            <a:lumOff val="6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200" b="1"/>
            <a:t>INSTRUCTIONS</a:t>
          </a:r>
        </a:p>
        <a:p>
          <a:endParaRPr lang="en-US" sz="1100"/>
        </a:p>
        <a:p>
          <a:r>
            <a:rPr lang="en-US" sz="1100"/>
            <a:t>Please enter data in  field</a:t>
          </a:r>
          <a:r>
            <a:rPr lang="en-US" sz="1100" baseline="0"/>
            <a:t>s/cells highlighted in yellow.  </a:t>
          </a:r>
        </a:p>
        <a:p>
          <a:endParaRPr lang="en-US" sz="1100" baseline="0"/>
        </a:p>
        <a:p>
          <a:r>
            <a:rPr lang="en-US" sz="1100" baseline="0"/>
            <a:t>Field/Cells in gray or white are calculated.    Please do not make changes unless you would like to override formulas.  If you do override formulas, please cross-check all values to ensure accuracy.</a:t>
          </a:r>
        </a:p>
        <a:p>
          <a:endParaRPr lang="en-US" sz="1100" baseline="0"/>
        </a:p>
        <a:p>
          <a:endParaRPr lang="en-US" sz="1100" baseline="0"/>
        </a:p>
      </xdr:txBody>
    </xdr:sp>
    <xdr:clientData fPrintsWithSheet="0"/>
  </xdr:twoCellAnchor>
</xdr:wsDr>
</file>

<file path=xl/drawings/drawing3.xml><?xml version="1.0" encoding="utf-8"?>
<xdr:wsDr xmlns:xdr="http://schemas.openxmlformats.org/drawingml/2006/spreadsheetDrawing" xmlns:a="http://schemas.openxmlformats.org/drawingml/2006/main">
  <xdr:twoCellAnchor>
    <xdr:from>
      <xdr:col>1</xdr:col>
      <xdr:colOff>0</xdr:colOff>
      <xdr:row>16</xdr:row>
      <xdr:rowOff>0</xdr:rowOff>
    </xdr:from>
    <xdr:to>
      <xdr:col>4</xdr:col>
      <xdr:colOff>476250</xdr:colOff>
      <xdr:row>22</xdr:row>
      <xdr:rowOff>47625</xdr:rowOff>
    </xdr:to>
    <xdr:sp macro="" textlink="">
      <xdr:nvSpPr>
        <xdr:cNvPr id="2" name="TextBox 1"/>
        <xdr:cNvSpPr txBox="1"/>
      </xdr:nvSpPr>
      <xdr:spPr>
        <a:xfrm>
          <a:off x="1238250" y="3048000"/>
          <a:ext cx="4171950" cy="1190625"/>
        </a:xfrm>
        <a:prstGeom prst="rect">
          <a:avLst/>
        </a:prstGeom>
        <a:solidFill>
          <a:schemeClr val="accent6">
            <a:lumMod val="40000"/>
            <a:lumOff val="6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100"/>
            <a:t>This</a:t>
          </a:r>
          <a:r>
            <a:rPr lang="en-US" sz="1100" baseline="0"/>
            <a:t> worksheet will be hidden in final version.</a:t>
          </a:r>
          <a:endParaRPr lang="en-US" sz="1100"/>
        </a:p>
      </xdr:txBody>
    </xdr:sp>
    <xdr:clientData/>
  </xdr:twoCellAnchor>
</xdr:wsDr>
</file>

<file path=xl/drawings/drawing4.xml><?xml version="1.0" encoding="utf-8"?>
<xdr:wsDr xmlns:xdr="http://schemas.openxmlformats.org/drawingml/2006/spreadsheetDrawing" xmlns:a="http://schemas.openxmlformats.org/drawingml/2006/main">
  <xdr:twoCellAnchor>
    <xdr:from>
      <xdr:col>8</xdr:col>
      <xdr:colOff>25400</xdr:colOff>
      <xdr:row>1</xdr:row>
      <xdr:rowOff>101600</xdr:rowOff>
    </xdr:from>
    <xdr:to>
      <xdr:col>14</xdr:col>
      <xdr:colOff>12700</xdr:colOff>
      <xdr:row>8</xdr:row>
      <xdr:rowOff>50800</xdr:rowOff>
    </xdr:to>
    <xdr:sp macro="" textlink="">
      <xdr:nvSpPr>
        <xdr:cNvPr id="2" name="TextBox 1"/>
        <xdr:cNvSpPr txBox="1"/>
      </xdr:nvSpPr>
      <xdr:spPr>
        <a:xfrm>
          <a:off x="8496300" y="342900"/>
          <a:ext cx="5473700" cy="1282700"/>
        </a:xfrm>
        <a:prstGeom prst="rect">
          <a:avLst/>
        </a:prstGeom>
        <a:solidFill>
          <a:schemeClr val="accent6">
            <a:lumMod val="20000"/>
            <a:lumOff val="8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400" b="1"/>
            <a:t>COMPLETING</a:t>
          </a:r>
          <a:r>
            <a:rPr lang="en-US" sz="1400" b="1" baseline="0"/>
            <a:t> THIS SHEET IS OPTIONAL!</a:t>
          </a:r>
          <a:endParaRPr lang="en-US" sz="1400" b="1"/>
        </a:p>
        <a:p>
          <a:endParaRPr lang="en-US" sz="1200"/>
        </a:p>
        <a:p>
          <a:r>
            <a:rPr lang="en-US" sz="1200"/>
            <a:t>This sheet</a:t>
          </a:r>
          <a:r>
            <a:rPr lang="en-US" sz="1200" baseline="0"/>
            <a:t> shows a different way to work out percentages of time  for various fund sources.   If you enter the Salary Category, % Time, Start Date and End Date, the default DOS code will be calculated and salary will be calculated for each month.</a:t>
          </a:r>
          <a:endParaRPr lang="en-US" sz="1200"/>
        </a:p>
      </xdr:txBody>
    </xdr:sp>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C:/Resource/Academic%20Salary/NegotiatedSalaryProgram/SFSW_311_MUOTRI,%20ALYSSON%20R_602367.xlsm"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Next FY"/>
      <sheetName val="This FY"/>
      <sheetName val="EID"/>
      <sheetName val="2011-2012"/>
      <sheetName val="VA"/>
      <sheetName val="Benefits"/>
      <sheetName val="SEED"/>
      <sheetName val="2012-2013"/>
      <sheetName val="Actual Benefits"/>
      <sheetName val="Lookups"/>
      <sheetName val="Worksheet"/>
      <sheetName val="Salary Structure - Calculations"/>
      <sheetName val="PPS Calculations"/>
      <sheetName val="Proposed Blended Rate"/>
      <sheetName val="Budget Report"/>
      <sheetName val="PPS Report"/>
      <sheetName val="Salpro Implementation"/>
      <sheetName val="PPS Implementation"/>
      <sheetName val="PPS Worksheet"/>
      <sheetName val="Data"/>
      <sheetName val="Data (PPS)"/>
      <sheetName val="Funding Summary"/>
      <sheetName val="Funding"/>
      <sheetName val="PPS Info"/>
      <sheetName val="Employee"/>
      <sheetName val="Salary"/>
      <sheetName val="Pyr Title"/>
      <sheetName val="SFSW_311_MUOTRI, ALYSSON R_6023"/>
      <sheetName val="DropDown"/>
    </sheetNames>
    <sheetDataSet>
      <sheetData sheetId="0" refreshError="1"/>
      <sheetData sheetId="1" refreshError="1"/>
      <sheetData sheetId="2" refreshError="1"/>
      <sheetData sheetId="3" refreshError="1"/>
      <sheetData sheetId="4" refreshError="1"/>
      <sheetData sheetId="5" refreshError="1"/>
      <sheetData sheetId="6">
        <row r="1">
          <cell r="A1" t="str">
            <v>#</v>
          </cell>
        </row>
      </sheetData>
      <sheetData sheetId="7">
        <row r="2">
          <cell r="C2">
            <v>1</v>
          </cell>
        </row>
      </sheetData>
      <sheetData sheetId="8">
        <row r="1">
          <cell r="A1" t="str">
            <v>ID</v>
          </cell>
        </row>
      </sheetData>
      <sheetData sheetId="9">
        <row r="2">
          <cell r="E2">
            <v>125000</v>
          </cell>
          <cell r="M2" t="str">
            <v>ANESTHESIOLOGY</v>
          </cell>
          <cell r="N2" t="str">
            <v>ANS</v>
          </cell>
          <cell r="AD2" t="str">
            <v>1 Gen Funds, Perm-19900</v>
          </cell>
          <cell r="AX2" t="str">
            <v>Assistant Professor</v>
          </cell>
          <cell r="AY2" t="str">
            <v>AsstProf</v>
          </cell>
          <cell r="AZ2" t="str">
            <v>I</v>
          </cell>
          <cell r="BB2" t="str">
            <v>Adj</v>
          </cell>
          <cell r="BF2" t="str">
            <v>ANE001</v>
          </cell>
          <cell r="BJ2" t="str">
            <v>N/A</v>
          </cell>
          <cell r="BM2" t="str">
            <v>Step 1</v>
          </cell>
          <cell r="BR2" t="str">
            <v>Regular           </v>
          </cell>
        </row>
        <row r="3">
          <cell r="E3">
            <v>125900</v>
          </cell>
          <cell r="M3" t="str">
            <v>CELL - MOL MED PROG</v>
          </cell>
          <cell r="N3" t="str">
            <v>CMM</v>
          </cell>
          <cell r="AD3" t="str">
            <v>2 Salary Savings-19900 Research</v>
          </cell>
          <cell r="AX3" t="str">
            <v>Assistant Professor</v>
          </cell>
          <cell r="AY3" t="str">
            <v>AsstProf</v>
          </cell>
          <cell r="AZ3" t="str">
            <v>II</v>
          </cell>
          <cell r="BB3" t="str">
            <v>Clin</v>
          </cell>
          <cell r="BF3" t="str">
            <v>ANEGCP</v>
          </cell>
          <cell r="BJ3" t="str">
            <v>Other Physician Specialty</v>
          </cell>
          <cell r="BM3" t="str">
            <v>Step 2</v>
          </cell>
          <cell r="BR3" t="str">
            <v>Bonus             </v>
          </cell>
        </row>
        <row r="4">
          <cell r="E4">
            <v>130200</v>
          </cell>
          <cell r="M4" t="str">
            <v>MEDSCH/EMERG MED SVC</v>
          </cell>
          <cell r="N4" t="str">
            <v>EMS</v>
          </cell>
          <cell r="AD4" t="str">
            <v>3 Salary Savings-19900</v>
          </cell>
          <cell r="AX4" t="str">
            <v>Assistant Professor</v>
          </cell>
          <cell r="AY4" t="str">
            <v>AsstProf</v>
          </cell>
          <cell r="AZ4" t="str">
            <v>III</v>
          </cell>
          <cell r="BB4" t="str">
            <v>Clin/X</v>
          </cell>
          <cell r="BF4" t="str">
            <v>CMM001</v>
          </cell>
          <cell r="BJ4" t="str">
            <v>Ambulatory Gynecology</v>
          </cell>
          <cell r="BM4" t="str">
            <v>Step 3</v>
          </cell>
          <cell r="BR4" t="str">
            <v>Guaranteed        </v>
          </cell>
        </row>
        <row r="5">
          <cell r="E5">
            <v>136700</v>
          </cell>
          <cell r="M5" t="str">
            <v>FAMILY - PREVENTIVE MEDICINE</v>
          </cell>
          <cell r="N5" t="str">
            <v>CFM</v>
          </cell>
          <cell r="AD5" t="str">
            <v>19 Other-Non SOM</v>
          </cell>
          <cell r="AX5" t="str">
            <v>Assistant Professor</v>
          </cell>
          <cell r="AY5" t="str">
            <v>AsstProf</v>
          </cell>
          <cell r="AZ5" t="str">
            <v>IV</v>
          </cell>
          <cell r="BB5" t="str">
            <v>FTE</v>
          </cell>
          <cell r="BF5" t="str">
            <v>EMS001</v>
          </cell>
          <cell r="BJ5" t="str">
            <v>Psychology</v>
          </cell>
          <cell r="BM5" t="str">
            <v>Step 4</v>
          </cell>
          <cell r="BR5" t="str">
            <v>Consult           </v>
          </cell>
        </row>
        <row r="6">
          <cell r="E6">
            <v>141300</v>
          </cell>
          <cell r="M6" t="str">
            <v>MEDICINE</v>
          </cell>
          <cell r="N6" t="str">
            <v>MED</v>
          </cell>
          <cell r="AD6" t="str">
            <v>23 Dean's Office Salary Savings</v>
          </cell>
          <cell r="AX6" t="str">
            <v>Assistant Professor</v>
          </cell>
          <cell r="AY6" t="str">
            <v>AsstProf</v>
          </cell>
          <cell r="AZ6" t="str">
            <v>V</v>
          </cell>
          <cell r="BB6" t="str">
            <v>IR</v>
          </cell>
          <cell r="BF6" t="str">
            <v>EMS002</v>
          </cell>
          <cell r="BJ6" t="str">
            <v>Midlevel Providers</v>
          </cell>
          <cell r="BM6" t="str">
            <v>Step 5</v>
          </cell>
          <cell r="BR6" t="str">
            <v>Clinical Risk     </v>
          </cell>
        </row>
        <row r="7">
          <cell r="E7">
            <v>145100</v>
          </cell>
          <cell r="M7" t="str">
            <v>NEUROSCIENCES</v>
          </cell>
          <cell r="N7" t="str">
            <v>NEU</v>
          </cell>
          <cell r="AD7" t="str">
            <v>30 HHMI</v>
          </cell>
          <cell r="AX7" t="str">
            <v>Assistant Professor</v>
          </cell>
          <cell r="AY7" t="str">
            <v>AsstProf</v>
          </cell>
          <cell r="AZ7" t="str">
            <v>VI</v>
          </cell>
          <cell r="BF7" t="str">
            <v>EMS003</v>
          </cell>
          <cell r="BJ7" t="str">
            <v>Podiatry</v>
          </cell>
          <cell r="BM7" t="str">
            <v>Step 6</v>
          </cell>
          <cell r="BR7" t="str">
            <v>ASC               </v>
          </cell>
        </row>
        <row r="8">
          <cell r="E8">
            <v>157000</v>
          </cell>
          <cell r="M8" t="str">
            <v>OPHTHALMOLOGY</v>
          </cell>
          <cell r="N8" t="str">
            <v>OPH</v>
          </cell>
          <cell r="AD8" t="str">
            <v>31 Ludwig</v>
          </cell>
          <cell r="AX8" t="str">
            <v>Assistant Professor</v>
          </cell>
          <cell r="AY8" t="str">
            <v>AsstProf</v>
          </cell>
          <cell r="AZ8" t="str">
            <v>OS</v>
          </cell>
          <cell r="BF8" t="str">
            <v>FPM001</v>
          </cell>
          <cell r="BJ8" t="str">
            <v>Audiology</v>
          </cell>
          <cell r="BM8" t="str">
            <v>Step 7</v>
          </cell>
          <cell r="BR8" t="str">
            <v>CSA               </v>
          </cell>
        </row>
        <row r="9">
          <cell r="E9">
            <v>161200</v>
          </cell>
          <cell r="M9" t="str">
            <v>ORTHOPAEDIC SURGERY</v>
          </cell>
          <cell r="N9" t="str">
            <v>ORT</v>
          </cell>
          <cell r="AD9" t="str">
            <v>35 Other SOM - Teaching</v>
          </cell>
          <cell r="AX9" t="str">
            <v>Associate Professor</v>
          </cell>
          <cell r="AY9" t="str">
            <v>AssocProf</v>
          </cell>
          <cell r="AZ9" t="str">
            <v>I</v>
          </cell>
          <cell r="BF9" t="str">
            <v>FPM002</v>
          </cell>
          <cell r="BJ9" t="str">
            <v>Family Medicine (with OB)</v>
          </cell>
          <cell r="BM9" t="str">
            <v>Step 8</v>
          </cell>
          <cell r="BR9" t="str">
            <v>Prior Year         </v>
          </cell>
        </row>
        <row r="10">
          <cell r="E10">
            <v>166670</v>
          </cell>
          <cell r="M10" t="str">
            <v>PATHOLOGY</v>
          </cell>
          <cell r="N10" t="str">
            <v>PTH</v>
          </cell>
          <cell r="AD10" t="str">
            <v>7 C&amp;G NIH</v>
          </cell>
          <cell r="AX10" t="str">
            <v>Associate Professor</v>
          </cell>
          <cell r="AY10" t="str">
            <v>AssocProf</v>
          </cell>
          <cell r="AZ10" t="str">
            <v>II</v>
          </cell>
          <cell r="BF10" t="str">
            <v>FPM003</v>
          </cell>
          <cell r="BJ10" t="str">
            <v>Family Medicine (without OB)</v>
          </cell>
          <cell r="BM10" t="str">
            <v>Step 9</v>
          </cell>
          <cell r="BR10" t="str">
            <v>Other             </v>
          </cell>
        </row>
        <row r="11">
          <cell r="E11">
            <v>171900</v>
          </cell>
          <cell r="M11" t="str">
            <v>PEDIATRICS</v>
          </cell>
          <cell r="N11" t="str">
            <v>PED</v>
          </cell>
          <cell r="AD11" t="str">
            <v>8 C&amp;G Non Federal</v>
          </cell>
          <cell r="AX11" t="str">
            <v>Associate Professor</v>
          </cell>
          <cell r="AY11" t="str">
            <v>AssocProf</v>
          </cell>
          <cell r="AZ11" t="str">
            <v>III</v>
          </cell>
          <cell r="BF11" t="str">
            <v>FPM004</v>
          </cell>
          <cell r="BJ11" t="str">
            <v>Allergy / Immunology</v>
          </cell>
          <cell r="BM11" t="str">
            <v>Step 10</v>
          </cell>
          <cell r="BR11" t="str">
            <v>Primary Care      </v>
          </cell>
        </row>
        <row r="12">
          <cell r="E12">
            <v>174500</v>
          </cell>
          <cell r="M12" t="str">
            <v>PHARMACOLOGY</v>
          </cell>
          <cell r="N12" t="str">
            <v>PHR</v>
          </cell>
          <cell r="AD12" t="str">
            <v>9 C&amp;G Other Federal</v>
          </cell>
          <cell r="AX12" t="str">
            <v>Associate Professor</v>
          </cell>
          <cell r="AY12" t="str">
            <v>AssocProf</v>
          </cell>
          <cell r="AZ12" t="str">
            <v>IV</v>
          </cell>
          <cell r="BF12" t="str">
            <v>FPM005</v>
          </cell>
          <cell r="BJ12" t="str">
            <v>Bone Marrow Transplant</v>
          </cell>
          <cell r="BM12" t="str">
            <v>Step 11</v>
          </cell>
          <cell r="BR12" t="str">
            <v>Extra Coverage    </v>
          </cell>
        </row>
        <row r="13">
          <cell r="E13">
            <v>175700</v>
          </cell>
          <cell r="M13" t="str">
            <v>PSYCHIATRY</v>
          </cell>
          <cell r="N13" t="str">
            <v>PST</v>
          </cell>
          <cell r="AD13" t="str">
            <v>11 VMRF</v>
          </cell>
          <cell r="AX13" t="str">
            <v>Associate Professor</v>
          </cell>
          <cell r="AY13" t="str">
            <v>AssocProf</v>
          </cell>
          <cell r="AZ13" t="str">
            <v>V</v>
          </cell>
          <cell r="BF13" t="str">
            <v>MED026</v>
          </cell>
          <cell r="BJ13" t="str">
            <v>Dermatology</v>
          </cell>
          <cell r="BM13" t="str">
            <v>Step 12</v>
          </cell>
          <cell r="BR13" t="str">
            <v>ACC Incentive     </v>
          </cell>
        </row>
        <row r="14">
          <cell r="E14">
            <v>180100</v>
          </cell>
          <cell r="M14" t="str">
            <v>RADIATION MED - APPLIED SCI</v>
          </cell>
          <cell r="N14" t="str">
            <v>RADONC</v>
          </cell>
          <cell r="AD14" t="str">
            <v>12 Children's Agreement</v>
          </cell>
          <cell r="AX14" t="str">
            <v>Associate Professor</v>
          </cell>
          <cell r="AY14" t="str">
            <v>AssocProf</v>
          </cell>
          <cell r="AZ14" t="str">
            <v>OS</v>
          </cell>
          <cell r="BF14" t="str">
            <v>MED028</v>
          </cell>
          <cell r="BJ14" t="str">
            <v>MOHS Surgery</v>
          </cell>
          <cell r="BM14" t="str">
            <v>Step 13</v>
          </cell>
          <cell r="BR14" t="str">
            <v>Chair Incentive   </v>
          </cell>
        </row>
        <row r="15">
          <cell r="E15">
            <v>183500</v>
          </cell>
          <cell r="M15" t="str">
            <v>RADIOLOGY</v>
          </cell>
          <cell r="N15" t="str">
            <v>RAD</v>
          </cell>
          <cell r="AD15" t="str">
            <v>13 Non Clinical Service Agmts</v>
          </cell>
          <cell r="AX15" t="str">
            <v>Professor</v>
          </cell>
          <cell r="AY15" t="str">
            <v>Prof</v>
          </cell>
          <cell r="AZ15" t="str">
            <v>I</v>
          </cell>
          <cell r="BF15" t="str">
            <v>MED029</v>
          </cell>
          <cell r="BJ15" t="str">
            <v>Endocrinology / Metabolism</v>
          </cell>
          <cell r="BM15" t="str">
            <v>Step 14</v>
          </cell>
          <cell r="BR15" t="str">
            <v>Signing Bonus     </v>
          </cell>
        </row>
        <row r="16">
          <cell r="E16">
            <v>186600</v>
          </cell>
          <cell r="M16" t="str">
            <v>DEP. OF REPRODUCTIVE MEDICINE</v>
          </cell>
          <cell r="N16" t="str">
            <v>RPR</v>
          </cell>
          <cell r="AD16" t="str">
            <v>19 Other-Non SOM</v>
          </cell>
          <cell r="AX16" t="str">
            <v>Professor</v>
          </cell>
          <cell r="AY16" t="str">
            <v>Prof</v>
          </cell>
          <cell r="AZ16" t="str">
            <v>II</v>
          </cell>
          <cell r="BF16" t="str">
            <v>MED031</v>
          </cell>
          <cell r="BJ16" t="str">
            <v>Gastroenterology</v>
          </cell>
          <cell r="BM16" t="str">
            <v>Step 15</v>
          </cell>
          <cell r="BR16" t="str">
            <v>Teaching Incentive</v>
          </cell>
        </row>
        <row r="17">
          <cell r="E17">
            <v>191300</v>
          </cell>
          <cell r="M17" t="str">
            <v>School of Pharmacy</v>
          </cell>
          <cell r="N17" t="str">
            <v>SOP</v>
          </cell>
          <cell r="AD17" t="str">
            <v>20 Other Academic Activity</v>
          </cell>
          <cell r="AX17" t="str">
            <v>Professor</v>
          </cell>
          <cell r="AY17" t="str">
            <v>Prof</v>
          </cell>
          <cell r="AZ17" t="str">
            <v>III</v>
          </cell>
          <cell r="BF17" t="str">
            <v>MED032</v>
          </cell>
          <cell r="BJ17" t="str">
            <v>Geriatrics</v>
          </cell>
          <cell r="BM17" t="str">
            <v>GS 1/1</v>
          </cell>
          <cell r="BR17" t="str">
            <v>Relocation        </v>
          </cell>
        </row>
        <row r="18">
          <cell r="E18">
            <v>196700</v>
          </cell>
          <cell r="M18" t="str">
            <v>SURGERY</v>
          </cell>
          <cell r="N18" t="str">
            <v>SUR</v>
          </cell>
          <cell r="AD18" t="str">
            <v>23 Dean's Office Salary Savings</v>
          </cell>
          <cell r="AX18" t="str">
            <v>Professor</v>
          </cell>
          <cell r="AY18" t="str">
            <v>Prof</v>
          </cell>
          <cell r="AZ18" t="str">
            <v>IV</v>
          </cell>
          <cell r="BF18" t="str">
            <v>MED035</v>
          </cell>
          <cell r="BJ18" t="str">
            <v>Infectious Disease</v>
          </cell>
          <cell r="BM18" t="str">
            <v>GS 1/2</v>
          </cell>
          <cell r="BR18" t="str">
            <v>On-Call           </v>
          </cell>
        </row>
        <row r="19">
          <cell r="E19">
            <v>199700</v>
          </cell>
          <cell r="AD19" t="str">
            <v>30 HHMI</v>
          </cell>
          <cell r="AX19" t="str">
            <v>Professor</v>
          </cell>
          <cell r="AY19" t="str">
            <v>Prof</v>
          </cell>
          <cell r="AZ19" t="str">
            <v>V</v>
          </cell>
          <cell r="BF19" t="str">
            <v>MED041</v>
          </cell>
          <cell r="BJ19" t="str">
            <v>General Internal Medicine</v>
          </cell>
          <cell r="BM19" t="str">
            <v>GS 1/3</v>
          </cell>
          <cell r="BR19" t="str">
            <v>Salary Maintenance</v>
          </cell>
        </row>
        <row r="20">
          <cell r="E20">
            <v>179700</v>
          </cell>
          <cell r="AD20" t="str">
            <v>31 Ludwig</v>
          </cell>
          <cell r="AX20" t="str">
            <v>Professor</v>
          </cell>
          <cell r="AY20" t="str">
            <v>Prof</v>
          </cell>
          <cell r="AZ20" t="str">
            <v>VI</v>
          </cell>
          <cell r="BF20" t="str">
            <v>MED042</v>
          </cell>
          <cell r="BJ20" t="str">
            <v>Hepatology</v>
          </cell>
          <cell r="BM20" t="str">
            <v>GS 1/4</v>
          </cell>
        </row>
        <row r="21">
          <cell r="AD21" t="str">
            <v>37 Other SOM - Research</v>
          </cell>
          <cell r="AX21" t="str">
            <v>Professor</v>
          </cell>
          <cell r="AY21" t="str">
            <v>Prof</v>
          </cell>
          <cell r="AZ21" t="str">
            <v>VII</v>
          </cell>
          <cell r="BF21" t="str">
            <v>MED043</v>
          </cell>
          <cell r="BJ21" t="str">
            <v>Nephrology</v>
          </cell>
          <cell r="BM21" t="str">
            <v>GS 1/5</v>
          </cell>
        </row>
        <row r="22">
          <cell r="AD22" t="str">
            <v>4 Current Clinical Funds</v>
          </cell>
          <cell r="AX22" t="str">
            <v>Professor</v>
          </cell>
          <cell r="AY22" t="str">
            <v>Prof</v>
          </cell>
          <cell r="AZ22" t="str">
            <v>VIII</v>
          </cell>
          <cell r="BF22" t="str">
            <v>MED044</v>
          </cell>
          <cell r="BJ22" t="str">
            <v>Occupational Medicine</v>
          </cell>
          <cell r="BM22" t="str">
            <v>GS 1/6</v>
          </cell>
        </row>
        <row r="23">
          <cell r="AD23" t="str">
            <v>5 Committed Reserves</v>
          </cell>
          <cell r="AX23" t="str">
            <v>Professor</v>
          </cell>
          <cell r="AY23" t="str">
            <v>Prof</v>
          </cell>
          <cell r="AZ23" t="str">
            <v>IX</v>
          </cell>
          <cell r="BF23" t="str">
            <v>MED045</v>
          </cell>
          <cell r="BJ23" t="str">
            <v>Physical Medicine</v>
          </cell>
          <cell r="BM23" t="str">
            <v>GS 1/7</v>
          </cell>
        </row>
        <row r="24">
          <cell r="AD24" t="str">
            <v>6 Clinical Trial</v>
          </cell>
          <cell r="AX24" t="str">
            <v>Professor</v>
          </cell>
          <cell r="AY24" t="str">
            <v>Prof</v>
          </cell>
          <cell r="AZ24" t="str">
            <v>OS</v>
          </cell>
          <cell r="BF24" t="str">
            <v>MED046</v>
          </cell>
          <cell r="BJ24" t="str">
            <v>Hematology</v>
          </cell>
          <cell r="BM24" t="str">
            <v>GS 1/8</v>
          </cell>
        </row>
        <row r="25">
          <cell r="AD25" t="str">
            <v>15 ASC-Expense</v>
          </cell>
          <cell r="AX25" t="str">
            <v>Professor</v>
          </cell>
          <cell r="AY25" t="str">
            <v>Prof</v>
          </cell>
          <cell r="AZ25" t="str">
            <v>AS</v>
          </cell>
          <cell r="BF25" t="str">
            <v>MED047</v>
          </cell>
          <cell r="BJ25" t="str">
            <v>Pulmonary Disease</v>
          </cell>
          <cell r="BM25" t="str">
            <v>GS 1/9</v>
          </cell>
        </row>
        <row r="26">
          <cell r="AD26" t="str">
            <v>16 ASC-Residency Director</v>
          </cell>
          <cell r="AF26" t="str">
            <v>Assistant Professor</v>
          </cell>
          <cell r="AX26" t="str">
            <v>Professor</v>
          </cell>
          <cell r="AY26" t="str">
            <v>Prof</v>
          </cell>
          <cell r="AZ26" t="str">
            <v>FAS</v>
          </cell>
          <cell r="BF26" t="str">
            <v>MED048</v>
          </cell>
          <cell r="BJ26" t="str">
            <v>Medical Oncology without Infusion</v>
          </cell>
          <cell r="BM26" t="str">
            <v>GS 1/10</v>
          </cell>
        </row>
        <row r="27">
          <cell r="AD27" t="str">
            <v>17 Clin Svc/Aff Agr/C&amp;W</v>
          </cell>
          <cell r="AF27" t="str">
            <v>Associate Professor</v>
          </cell>
          <cell r="BF27" t="str">
            <v>MED049</v>
          </cell>
          <cell r="BJ27" t="str">
            <v>Rheumatology</v>
          </cell>
          <cell r="BM27" t="str">
            <v>GS 2/1</v>
          </cell>
        </row>
        <row r="28">
          <cell r="AD28" t="str">
            <v>19 Other-Non SOM</v>
          </cell>
          <cell r="AF28" t="str">
            <v>Professor</v>
          </cell>
          <cell r="BF28" t="str">
            <v>MED050</v>
          </cell>
          <cell r="BJ28" t="str">
            <v>Cardiology: Invasive</v>
          </cell>
          <cell r="BM28" t="str">
            <v>GS 2/2</v>
          </cell>
        </row>
        <row r="29">
          <cell r="AD29" t="str">
            <v>21 Recharge-Clinical</v>
          </cell>
          <cell r="BF29" t="str">
            <v>MED051</v>
          </cell>
          <cell r="BJ29" t="str">
            <v>Cardiology: Noninvasive</v>
          </cell>
          <cell r="BM29" t="str">
            <v>GS 2/3</v>
          </cell>
        </row>
        <row r="30">
          <cell r="AD30" t="str">
            <v>22 Recharge-Research</v>
          </cell>
          <cell r="BF30" t="str">
            <v>MED053</v>
          </cell>
          <cell r="BJ30" t="str">
            <v>Cardiology: Invasive Interventional</v>
          </cell>
          <cell r="BM30" t="str">
            <v>GS 2/4</v>
          </cell>
        </row>
        <row r="31">
          <cell r="AD31" t="str">
            <v>23 Dean's Office Salary Savings</v>
          </cell>
          <cell r="BF31" t="str">
            <v>MED054</v>
          </cell>
          <cell r="BJ31" t="str">
            <v>Genetics</v>
          </cell>
          <cell r="BM31" t="str">
            <v>GS 2/5</v>
          </cell>
        </row>
        <row r="32">
          <cell r="AD32" t="str">
            <v>24 Dean-Clinical</v>
          </cell>
          <cell r="BF32" t="str">
            <v>MED055</v>
          </cell>
          <cell r="BJ32" t="str">
            <v>Medical Oncology with Infusion</v>
          </cell>
          <cell r="BM32" t="str">
            <v>GS 2/6</v>
          </cell>
        </row>
        <row r="33">
          <cell r="AD33" t="str">
            <v>25 Dean-Academic</v>
          </cell>
          <cell r="BF33" t="str">
            <v>MED056</v>
          </cell>
          <cell r="BJ33" t="str">
            <v>Hospitalists</v>
          </cell>
          <cell r="BM33" t="str">
            <v>GS 2/7</v>
          </cell>
        </row>
        <row r="34">
          <cell r="AD34" t="str">
            <v>26 Dean-Instruction</v>
          </cell>
          <cell r="BF34" t="str">
            <v>MED057</v>
          </cell>
          <cell r="BJ34" t="str">
            <v>Neurology: General</v>
          </cell>
          <cell r="BM34" t="str">
            <v>GS 2/8</v>
          </cell>
        </row>
        <row r="35">
          <cell r="AD35" t="str">
            <v>27 Med Grp - CSC/PMD</v>
          </cell>
          <cell r="BF35" t="str">
            <v>MED073</v>
          </cell>
          <cell r="BJ35" t="str">
            <v>Neurology: Alzheimers / Dementia</v>
          </cell>
          <cell r="BM35" t="str">
            <v>GS 2/9</v>
          </cell>
        </row>
        <row r="36">
          <cell r="AD36" t="str">
            <v>28 PC Clinical Salary</v>
          </cell>
          <cell r="BF36" t="str">
            <v>MED075</v>
          </cell>
          <cell r="BJ36" t="str">
            <v>Neurology: Neuromuscular</v>
          </cell>
          <cell r="BM36" t="str">
            <v>GS 2/10</v>
          </cell>
        </row>
        <row r="37">
          <cell r="AD37" t="str">
            <v>29 Oncology Svc Line</v>
          </cell>
          <cell r="BF37" t="str">
            <v>MED076</v>
          </cell>
          <cell r="BJ37" t="str">
            <v>Neurology: Sleep Medicine</v>
          </cell>
          <cell r="BM37" t="str">
            <v>GS 3/1</v>
          </cell>
        </row>
        <row r="38">
          <cell r="AD38" t="str">
            <v>30 HHMI</v>
          </cell>
          <cell r="BF38" t="str">
            <v>MED077</v>
          </cell>
          <cell r="BJ38" t="str">
            <v>Neurology: Epilepsy / EEG</v>
          </cell>
          <cell r="BM38" t="str">
            <v>GS 3/2</v>
          </cell>
        </row>
        <row r="39">
          <cell r="AD39" t="str">
            <v>31 Ludwig</v>
          </cell>
          <cell r="BF39" t="str">
            <v>MED078</v>
          </cell>
          <cell r="BJ39" t="str">
            <v>Gynecological Oncology</v>
          </cell>
          <cell r="BM39" t="str">
            <v>GS 3/3</v>
          </cell>
        </row>
        <row r="40">
          <cell r="AD40" t="str">
            <v>32 ASC-Fund Transfer</v>
          </cell>
          <cell r="BF40" t="str">
            <v>NEU001</v>
          </cell>
          <cell r="BJ40" t="str">
            <v>Maternal and Fetal Medicine</v>
          </cell>
          <cell r="BM40" t="str">
            <v>GS 3/4</v>
          </cell>
        </row>
        <row r="41">
          <cell r="AD41" t="str">
            <v>33 Enterprise (CEDF)</v>
          </cell>
          <cell r="BF41" t="str">
            <v>NEU003</v>
          </cell>
          <cell r="BJ41" t="str">
            <v>Obstetrics / Gynecology</v>
          </cell>
          <cell r="BM41" t="str">
            <v>GS 3/5</v>
          </cell>
        </row>
        <row r="42">
          <cell r="AD42" t="str">
            <v>34 Ph.D. Consult/Witness Fees</v>
          </cell>
          <cell r="BF42" t="str">
            <v>NEUCHR</v>
          </cell>
          <cell r="BJ42" t="str">
            <v>Reproductive Endocrinology</v>
          </cell>
          <cell r="BM42" t="str">
            <v>GS 3/6</v>
          </cell>
        </row>
        <row r="43">
          <cell r="AD43" t="str">
            <v>36 Other SOM - Clinical</v>
          </cell>
          <cell r="BF43" t="str">
            <v>OPH001</v>
          </cell>
          <cell r="BJ43" t="str">
            <v>Uro-Gynecology</v>
          </cell>
          <cell r="BM43" t="str">
            <v>GS 3/7</v>
          </cell>
        </row>
        <row r="44">
          <cell r="AD44" t="str">
            <v>38 CHAT</v>
          </cell>
          <cell r="BF44" t="str">
            <v>OPHGCP</v>
          </cell>
          <cell r="BJ44" t="str">
            <v>Gynecology</v>
          </cell>
          <cell r="BM44" t="str">
            <v>GS 3/8</v>
          </cell>
        </row>
        <row r="45">
          <cell r="BF45" t="str">
            <v>ORT001</v>
          </cell>
          <cell r="BJ45" t="str">
            <v>Radiology: Interventional</v>
          </cell>
          <cell r="BM45" t="str">
            <v>GS 3/9</v>
          </cell>
        </row>
        <row r="46">
          <cell r="BF46" t="str">
            <v>ORT002</v>
          </cell>
          <cell r="BJ46" t="str">
            <v>Radiology: Nuclear Medicine</v>
          </cell>
          <cell r="BM46" t="str">
            <v>GS 3/10</v>
          </cell>
        </row>
        <row r="47">
          <cell r="BF47" t="str">
            <v>ORT004</v>
          </cell>
          <cell r="BJ47" t="str">
            <v>Radiology: Diagnostic</v>
          </cell>
          <cell r="BM47" t="str">
            <v>GS 4/1</v>
          </cell>
        </row>
        <row r="48">
          <cell r="BF48" t="str">
            <v>ORT005</v>
          </cell>
          <cell r="BJ48" t="str">
            <v>Radiation Oncology</v>
          </cell>
          <cell r="BM48" t="str">
            <v>GS 4/2</v>
          </cell>
        </row>
        <row r="49">
          <cell r="BF49" t="str">
            <v>PEDALL</v>
          </cell>
          <cell r="BJ49" t="str">
            <v>Ophthalmology: General / Comprehensive</v>
          </cell>
          <cell r="BM49" t="str">
            <v>GS 4/3</v>
          </cell>
        </row>
        <row r="50">
          <cell r="BF50" t="str">
            <v>PEDCAR</v>
          </cell>
          <cell r="BJ50" t="str">
            <v>Ophthalmology: Corneal / Refractive Surgery</v>
          </cell>
          <cell r="BM50" t="str">
            <v>GS 4/4</v>
          </cell>
        </row>
        <row r="51">
          <cell r="BF51" t="str">
            <v>PEDCDC</v>
          </cell>
          <cell r="BJ51" t="str">
            <v>Ophthalmology: Glaucoma</v>
          </cell>
          <cell r="BM51" t="str">
            <v>GS 4/5</v>
          </cell>
        </row>
        <row r="52">
          <cell r="BF52" t="str">
            <v>PEDDER</v>
          </cell>
          <cell r="BJ52" t="str">
            <v>Ophthalmology: Neuro</v>
          </cell>
          <cell r="BM52" t="str">
            <v>GS 4/6</v>
          </cell>
        </row>
        <row r="53">
          <cell r="BF53" t="str">
            <v>PEDEME</v>
          </cell>
          <cell r="BJ53" t="str">
            <v>Ophthalmology: Pediatric</v>
          </cell>
          <cell r="BM53" t="str">
            <v>GS 4/7</v>
          </cell>
        </row>
        <row r="54">
          <cell r="BF54" t="str">
            <v>PEDEND</v>
          </cell>
          <cell r="BJ54" t="str">
            <v>Ophthalmology: Oculoplastic / Reconstructive Surgery</v>
          </cell>
          <cell r="BM54" t="str">
            <v>GS 4/8</v>
          </cell>
        </row>
        <row r="55">
          <cell r="BF55" t="str">
            <v>PEDGAS</v>
          </cell>
          <cell r="BJ55" t="str">
            <v>Ophthalmology: Retinal</v>
          </cell>
          <cell r="BM55" t="str">
            <v>GS 4/9</v>
          </cell>
        </row>
        <row r="56">
          <cell r="BF56" t="str">
            <v>PEDGEN</v>
          </cell>
          <cell r="BJ56" t="str">
            <v>Ophthalmology: Optometry</v>
          </cell>
          <cell r="BM56" t="str">
            <v>GS 4/10</v>
          </cell>
        </row>
        <row r="57">
          <cell r="BF57" t="str">
            <v>PEDHEM</v>
          </cell>
          <cell r="BJ57" t="str">
            <v>Pathology: Chartis Combined Weighted</v>
          </cell>
          <cell r="BM57" t="str">
            <v>GS 5/1</v>
          </cell>
        </row>
        <row r="58">
          <cell r="BF58" t="str">
            <v>PEDHOS</v>
          </cell>
          <cell r="BJ58" t="str">
            <v>Pathology: Anatomic</v>
          </cell>
          <cell r="BM58" t="str">
            <v>GS 5/2</v>
          </cell>
        </row>
        <row r="59">
          <cell r="BF59" t="str">
            <v>PEDINF</v>
          </cell>
          <cell r="BJ59" t="str">
            <v>Pathology: Clinical</v>
          </cell>
          <cell r="BM59" t="str">
            <v>GS 5/3</v>
          </cell>
        </row>
        <row r="60">
          <cell r="BF60" t="str">
            <v>PEDNEO</v>
          </cell>
          <cell r="BJ60" t="str">
            <v>Pathology: Surgical</v>
          </cell>
          <cell r="BM60" t="str">
            <v>GS 5/4</v>
          </cell>
        </row>
        <row r="61">
          <cell r="BF61" t="str">
            <v>PEDNEP</v>
          </cell>
          <cell r="BJ61" t="str">
            <v>Pediatrics: Allergy / Immunology</v>
          </cell>
          <cell r="BM61" t="str">
            <v>GS 5/5</v>
          </cell>
        </row>
        <row r="62">
          <cell r="BF62" t="str">
            <v>PEDPED</v>
          </cell>
          <cell r="BJ62" t="str">
            <v>Pediatrics: Infectious Disease</v>
          </cell>
          <cell r="BM62" t="str">
            <v>GS 5/6</v>
          </cell>
        </row>
        <row r="63">
          <cell r="BF63" t="str">
            <v>PEDPHD</v>
          </cell>
          <cell r="BJ63" t="str">
            <v>Pediatrics: Neurology</v>
          </cell>
          <cell r="BM63" t="str">
            <v>GS 5/7</v>
          </cell>
        </row>
        <row r="64">
          <cell r="BF64" t="str">
            <v>PEDPPR</v>
          </cell>
          <cell r="BJ64" t="str">
            <v>Pediatrics: Emergency Medicine</v>
          </cell>
          <cell r="BM64" t="str">
            <v>GS 5/8</v>
          </cell>
        </row>
        <row r="65">
          <cell r="BF65" t="str">
            <v>PEDRES</v>
          </cell>
          <cell r="BJ65" t="str">
            <v>Pediatrics: Rheumatology</v>
          </cell>
          <cell r="BM65" t="str">
            <v>GS 5/9</v>
          </cell>
        </row>
        <row r="66">
          <cell r="BF66" t="str">
            <v>PEDURG</v>
          </cell>
          <cell r="BJ66" t="str">
            <v>Pediatrics: Cardiology-Invasive</v>
          </cell>
          <cell r="BM66" t="str">
            <v>GS 5/10</v>
          </cell>
        </row>
        <row r="67">
          <cell r="BF67" t="str">
            <v>PHR000</v>
          </cell>
          <cell r="BJ67" t="str">
            <v>Pediatrics: Cardiology-Noninvasive</v>
          </cell>
          <cell r="BM67" t="str">
            <v>GS 6/1</v>
          </cell>
        </row>
        <row r="68">
          <cell r="BF68" t="str">
            <v>PHR001</v>
          </cell>
          <cell r="BJ68" t="str">
            <v>Pediatrics: Adolescent Medicine</v>
          </cell>
          <cell r="BM68" t="str">
            <v>GS 6/2</v>
          </cell>
        </row>
        <row r="69">
          <cell r="BF69" t="str">
            <v>PHR003</v>
          </cell>
          <cell r="BJ69" t="str">
            <v>Pediatrics: Hospitalists</v>
          </cell>
          <cell r="BM69" t="str">
            <v>GS 6/3</v>
          </cell>
        </row>
        <row r="70">
          <cell r="BF70" t="str">
            <v>PHR005</v>
          </cell>
          <cell r="BJ70" t="str">
            <v>Pediatrics: Rehabilitation</v>
          </cell>
          <cell r="BM70" t="str">
            <v>GS 6/4</v>
          </cell>
        </row>
        <row r="71">
          <cell r="BF71" t="str">
            <v>PST001</v>
          </cell>
          <cell r="BJ71" t="str">
            <v>Pediatrics: Neonatal Medicine</v>
          </cell>
          <cell r="BM71" t="str">
            <v>GS 6/5</v>
          </cell>
        </row>
        <row r="72">
          <cell r="BF72" t="str">
            <v>PST002</v>
          </cell>
          <cell r="BJ72" t="str">
            <v>Pediatrics: Nephrology</v>
          </cell>
          <cell r="BM72" t="str">
            <v>GS 6/6</v>
          </cell>
        </row>
        <row r="73">
          <cell r="BF73" t="str">
            <v>PST003</v>
          </cell>
          <cell r="BJ73" t="str">
            <v>Pediatrics: General</v>
          </cell>
          <cell r="BM73" t="str">
            <v>GS 6/7</v>
          </cell>
        </row>
        <row r="74">
          <cell r="BF74" t="str">
            <v>PST004</v>
          </cell>
          <cell r="BJ74" t="str">
            <v>Pediatrics: Cardiology</v>
          </cell>
          <cell r="BM74" t="str">
            <v>GS 6/8</v>
          </cell>
        </row>
        <row r="75">
          <cell r="BF75" t="str">
            <v>PST005</v>
          </cell>
          <cell r="BJ75" t="str">
            <v>Pediatrics: Endocrinology</v>
          </cell>
          <cell r="BM75" t="str">
            <v>GS 6/9</v>
          </cell>
        </row>
        <row r="76">
          <cell r="BF76" t="str">
            <v>PST006</v>
          </cell>
          <cell r="BJ76" t="str">
            <v>Pediatrics: Psychiatry</v>
          </cell>
          <cell r="BM76" t="str">
            <v>GS 6/10</v>
          </cell>
        </row>
        <row r="77">
          <cell r="BF77" t="str">
            <v>PTH001</v>
          </cell>
          <cell r="BJ77" t="str">
            <v>Pediatrics: Otorhinolaryngology</v>
          </cell>
          <cell r="BM77" t="str">
            <v>GS 7/1</v>
          </cell>
        </row>
        <row r="78">
          <cell r="BF78" t="str">
            <v>PTH002</v>
          </cell>
          <cell r="BJ78" t="str">
            <v>Pediatrics: Developmental</v>
          </cell>
          <cell r="BM78" t="str">
            <v>GS 7/2</v>
          </cell>
        </row>
        <row r="79">
          <cell r="BF79" t="str">
            <v>PTH003</v>
          </cell>
          <cell r="BJ79" t="str">
            <v>Pediatrics: Critical Care</v>
          </cell>
          <cell r="BM79" t="str">
            <v>GS 7/3</v>
          </cell>
        </row>
        <row r="80">
          <cell r="BF80" t="str">
            <v>PTH004</v>
          </cell>
          <cell r="BJ80" t="str">
            <v>Pediatrics: Pulmonology</v>
          </cell>
          <cell r="BM80" t="str">
            <v>GS 7/4</v>
          </cell>
        </row>
        <row r="81">
          <cell r="BF81" t="str">
            <v>PTH005</v>
          </cell>
          <cell r="BJ81" t="str">
            <v>Pediatrics: Hematology / Oncology</v>
          </cell>
          <cell r="BM81" t="str">
            <v>GS 7/5</v>
          </cell>
        </row>
        <row r="82">
          <cell r="BF82" t="str">
            <v>RAD001</v>
          </cell>
          <cell r="BJ82" t="str">
            <v>Pediatrics: Gastroenterology</v>
          </cell>
          <cell r="BM82" t="str">
            <v>GS 7/6</v>
          </cell>
        </row>
        <row r="83">
          <cell r="BF83" t="str">
            <v>RAD003</v>
          </cell>
          <cell r="BJ83" t="str">
            <v>Surgical Oncology</v>
          </cell>
          <cell r="BM83" t="str">
            <v>GS 7/7</v>
          </cell>
        </row>
        <row r="84">
          <cell r="BF84" t="str">
            <v>RAD004</v>
          </cell>
          <cell r="BJ84" t="str">
            <v>Transplant Surgery: Heart</v>
          </cell>
          <cell r="BM84" t="str">
            <v>GS 7/8</v>
          </cell>
        </row>
        <row r="85">
          <cell r="BF85" t="str">
            <v>RAO002</v>
          </cell>
          <cell r="BJ85" t="str">
            <v>Transplant Surgery: Kidney</v>
          </cell>
          <cell r="BM85" t="str">
            <v>GS 7/9</v>
          </cell>
        </row>
        <row r="86">
          <cell r="BF86" t="str">
            <v>RAO005</v>
          </cell>
          <cell r="BJ86" t="str">
            <v>Surgery: Burn</v>
          </cell>
          <cell r="BM86" t="str">
            <v>GS 7/10</v>
          </cell>
        </row>
        <row r="87">
          <cell r="BF87" t="str">
            <v>RPR001</v>
          </cell>
          <cell r="BJ87" t="str">
            <v>Surgery: Colon and Rectal</v>
          </cell>
          <cell r="BM87" t="str">
            <v>GS 8/1</v>
          </cell>
        </row>
        <row r="88">
          <cell r="BF88" t="str">
            <v>RPR003</v>
          </cell>
          <cell r="BJ88" t="str">
            <v>Surgery: General</v>
          </cell>
          <cell r="BM88" t="str">
            <v>GS 8/2</v>
          </cell>
        </row>
        <row r="89">
          <cell r="BF89" t="str">
            <v>RPR004</v>
          </cell>
          <cell r="BJ89" t="str">
            <v>Surgery: Neurological</v>
          </cell>
          <cell r="BM89" t="str">
            <v>GS 8/3</v>
          </cell>
        </row>
        <row r="90">
          <cell r="BF90" t="str">
            <v>SOM001</v>
          </cell>
          <cell r="BJ90" t="str">
            <v>Otorhinolaryngology</v>
          </cell>
          <cell r="BM90" t="str">
            <v>GS 8/4</v>
          </cell>
        </row>
        <row r="91">
          <cell r="BF91" t="str">
            <v>SOM002</v>
          </cell>
          <cell r="BJ91" t="str">
            <v>Surgery: Pediatric</v>
          </cell>
          <cell r="BM91" t="str">
            <v>GS 8/5</v>
          </cell>
        </row>
        <row r="92">
          <cell r="BF92" t="str">
            <v>SOM003</v>
          </cell>
          <cell r="BJ92" t="str">
            <v>Surgery: Plastic</v>
          </cell>
          <cell r="BM92" t="str">
            <v>GS 8/6</v>
          </cell>
        </row>
        <row r="93">
          <cell r="BF93" t="str">
            <v>SOMVA1</v>
          </cell>
          <cell r="BJ93" t="str">
            <v>Surgery: Cardiac</v>
          </cell>
          <cell r="BM93" t="str">
            <v>GS 8/7</v>
          </cell>
        </row>
        <row r="94">
          <cell r="BF94" t="str">
            <v>SOP002</v>
          </cell>
          <cell r="BJ94" t="str">
            <v>Urology</v>
          </cell>
          <cell r="BM94" t="str">
            <v>GS 8/8</v>
          </cell>
        </row>
        <row r="95">
          <cell r="BF95" t="str">
            <v>SUR001</v>
          </cell>
          <cell r="BJ95" t="str">
            <v>Transplant Surgery: Heart / Lung</v>
          </cell>
          <cell r="BM95" t="str">
            <v>GS 8/9</v>
          </cell>
        </row>
        <row r="96">
          <cell r="BF96" t="str">
            <v>SUR002</v>
          </cell>
          <cell r="BJ96" t="str">
            <v>Surgery: Vascular</v>
          </cell>
          <cell r="BM96" t="str">
            <v>GS 8/10</v>
          </cell>
        </row>
        <row r="97">
          <cell r="BF97" t="str">
            <v>SUR003</v>
          </cell>
          <cell r="BJ97" t="str">
            <v>Surgery: Thoracic</v>
          </cell>
          <cell r="BM97" t="str">
            <v>GS 9/1</v>
          </cell>
        </row>
        <row r="98">
          <cell r="BF98" t="str">
            <v>SUR004</v>
          </cell>
          <cell r="BJ98" t="str">
            <v>Transplant Surgery: Liver</v>
          </cell>
          <cell r="BM98" t="str">
            <v>GS 9/2</v>
          </cell>
        </row>
        <row r="99">
          <cell r="BF99" t="str">
            <v>SUR005</v>
          </cell>
          <cell r="BJ99" t="str">
            <v>Surgery: Oral</v>
          </cell>
          <cell r="BM99" t="str">
            <v>GS 9/3</v>
          </cell>
        </row>
        <row r="100">
          <cell r="BF100" t="str">
            <v>SUR006</v>
          </cell>
          <cell r="BJ100" t="str">
            <v>Cardiology: Electrophysiology</v>
          </cell>
          <cell r="BM100" t="str">
            <v>GS 9/4</v>
          </cell>
        </row>
        <row r="101">
          <cell r="BF101" t="str">
            <v>SUR007</v>
          </cell>
          <cell r="BJ101" t="str">
            <v>Cardiology: General</v>
          </cell>
          <cell r="BM101" t="str">
            <v>GS 9/5</v>
          </cell>
        </row>
        <row r="102">
          <cell r="BF102" t="str">
            <v>SUR008</v>
          </cell>
          <cell r="BJ102" t="str">
            <v>Transplant Surgery: General</v>
          </cell>
          <cell r="BM102" t="str">
            <v>GS 9/6</v>
          </cell>
        </row>
        <row r="103">
          <cell r="BJ103" t="str">
            <v>Surgery: Trauma</v>
          </cell>
          <cell r="BM103" t="str">
            <v>GS 9/7</v>
          </cell>
        </row>
        <row r="104">
          <cell r="BJ104" t="str">
            <v>Psychiatry</v>
          </cell>
          <cell r="BM104" t="str">
            <v>GS 9/8</v>
          </cell>
        </row>
        <row r="105">
          <cell r="BJ105" t="str">
            <v>Orthopedic Surgery: Trauma</v>
          </cell>
          <cell r="BM105" t="str">
            <v>GS 9/9</v>
          </cell>
        </row>
        <row r="106">
          <cell r="BJ106" t="str">
            <v>Orthopedic Surgery: Spine</v>
          </cell>
          <cell r="BM106" t="str">
            <v>GS 9/10</v>
          </cell>
        </row>
        <row r="107">
          <cell r="BJ107" t="str">
            <v>Orthopedic Surgery: Joint</v>
          </cell>
          <cell r="BM107" t="str">
            <v>GS 10/1</v>
          </cell>
        </row>
        <row r="108">
          <cell r="BJ108" t="str">
            <v>Orthopedic Surgery: Hand</v>
          </cell>
          <cell r="BM108" t="str">
            <v>GS 10/2</v>
          </cell>
        </row>
        <row r="109">
          <cell r="BJ109" t="str">
            <v>Orthopedic Surgery: General</v>
          </cell>
          <cell r="BM109" t="str">
            <v>GS 10/3</v>
          </cell>
        </row>
        <row r="110">
          <cell r="BJ110" t="str">
            <v>Orthopedic Surgery: Oncology</v>
          </cell>
          <cell r="BM110" t="str">
            <v>GS 10/4</v>
          </cell>
        </row>
        <row r="111">
          <cell r="BJ111" t="str">
            <v>Orthopedic Surgery: Pediatric</v>
          </cell>
          <cell r="BM111" t="str">
            <v>GS 10/5</v>
          </cell>
        </row>
        <row r="112">
          <cell r="BJ112" t="str">
            <v>Orthopedic Surgery: Foot / Ankle</v>
          </cell>
          <cell r="BM112" t="str">
            <v>GS 10/6</v>
          </cell>
        </row>
        <row r="113">
          <cell r="BJ113" t="str">
            <v>Orthopedic Surgery: Sports Medicine</v>
          </cell>
          <cell r="BM113" t="str">
            <v>GS 10/7</v>
          </cell>
        </row>
        <row r="114">
          <cell r="BJ114" t="str">
            <v>Orthopedic Surgery: Shoulder / Elbow</v>
          </cell>
          <cell r="BM114" t="str">
            <v>GS 10/8</v>
          </cell>
        </row>
        <row r="115">
          <cell r="BJ115" t="str">
            <v>Physical Therapy</v>
          </cell>
          <cell r="BM115" t="str">
            <v>GS 10/9</v>
          </cell>
        </row>
        <row r="116">
          <cell r="BJ116" t="str">
            <v>Anesthesiology</v>
          </cell>
          <cell r="BM116" t="str">
            <v>GS 10/10</v>
          </cell>
        </row>
        <row r="117">
          <cell r="BJ117" t="str">
            <v>Critical Care</v>
          </cell>
          <cell r="BM117" t="str">
            <v>GS 11/1</v>
          </cell>
        </row>
        <row r="118">
          <cell r="BJ118" t="str">
            <v>Pain Management</v>
          </cell>
          <cell r="BM118" t="str">
            <v>GS 11/2</v>
          </cell>
        </row>
        <row r="119">
          <cell r="BJ119" t="str">
            <v>Emergency Medicine</v>
          </cell>
          <cell r="BM119" t="str">
            <v>GS 11/3</v>
          </cell>
        </row>
        <row r="120">
          <cell r="BM120" t="str">
            <v>GS 11/4</v>
          </cell>
        </row>
        <row r="121">
          <cell r="BM121" t="str">
            <v>GS 11/5</v>
          </cell>
        </row>
        <row r="122">
          <cell r="BM122" t="str">
            <v>GS 11/6</v>
          </cell>
        </row>
        <row r="123">
          <cell r="BM123" t="str">
            <v>GS 11/7</v>
          </cell>
        </row>
        <row r="124">
          <cell r="BM124" t="str">
            <v>GS 11/8</v>
          </cell>
        </row>
        <row r="125">
          <cell r="BM125" t="str">
            <v>GS 11/9</v>
          </cell>
        </row>
        <row r="126">
          <cell r="BM126" t="str">
            <v>GS 11/10</v>
          </cell>
        </row>
        <row r="127">
          <cell r="BM127" t="str">
            <v>GS 12/1</v>
          </cell>
        </row>
        <row r="128">
          <cell r="BM128" t="str">
            <v>GS 12/2</v>
          </cell>
        </row>
        <row r="129">
          <cell r="BM129" t="str">
            <v>GS 12/3</v>
          </cell>
        </row>
        <row r="130">
          <cell r="BM130" t="str">
            <v>GS 12/4</v>
          </cell>
        </row>
        <row r="131">
          <cell r="BM131" t="str">
            <v>GS 12/5</v>
          </cell>
        </row>
        <row r="132">
          <cell r="BM132" t="str">
            <v>GS 12/6</v>
          </cell>
        </row>
        <row r="133">
          <cell r="BM133" t="str">
            <v>GS 12/7</v>
          </cell>
        </row>
        <row r="134">
          <cell r="BM134" t="str">
            <v>GS 12/8</v>
          </cell>
        </row>
        <row r="135">
          <cell r="BM135" t="str">
            <v>GS 12/9</v>
          </cell>
        </row>
        <row r="136">
          <cell r="BM136" t="str">
            <v>GS 12/10</v>
          </cell>
        </row>
        <row r="137">
          <cell r="BM137" t="str">
            <v>GS 13/1</v>
          </cell>
        </row>
        <row r="138">
          <cell r="BM138" t="str">
            <v>GS 13/2</v>
          </cell>
        </row>
        <row r="139">
          <cell r="BM139" t="str">
            <v>GS 13/3</v>
          </cell>
        </row>
        <row r="140">
          <cell r="BM140" t="str">
            <v>GS 13/4</v>
          </cell>
        </row>
        <row r="141">
          <cell r="BM141" t="str">
            <v>GS 13/5</v>
          </cell>
        </row>
        <row r="142">
          <cell r="BM142" t="str">
            <v>GS 13/6</v>
          </cell>
        </row>
        <row r="143">
          <cell r="BM143" t="str">
            <v>GS 13/7</v>
          </cell>
        </row>
        <row r="144">
          <cell r="BM144" t="str">
            <v>GS 13/8</v>
          </cell>
        </row>
        <row r="145">
          <cell r="BM145" t="str">
            <v>GS 13/9</v>
          </cell>
        </row>
        <row r="146">
          <cell r="BM146" t="str">
            <v>GS 13/10</v>
          </cell>
        </row>
        <row r="147">
          <cell r="BM147" t="str">
            <v>GS 14/1</v>
          </cell>
        </row>
        <row r="148">
          <cell r="BM148" t="str">
            <v>GS 14/2</v>
          </cell>
        </row>
        <row r="149">
          <cell r="BM149" t="str">
            <v>GS 14/3</v>
          </cell>
        </row>
        <row r="150">
          <cell r="BM150" t="str">
            <v>GS 14/4</v>
          </cell>
        </row>
        <row r="151">
          <cell r="BM151" t="str">
            <v>GS 14/5</v>
          </cell>
        </row>
        <row r="152">
          <cell r="BM152" t="str">
            <v>GS 14/6</v>
          </cell>
        </row>
        <row r="153">
          <cell r="BM153" t="str">
            <v>GS 14/7</v>
          </cell>
        </row>
        <row r="154">
          <cell r="BM154" t="str">
            <v>GS 14/8</v>
          </cell>
        </row>
        <row r="155">
          <cell r="BM155" t="str">
            <v>GS 14/9</v>
          </cell>
        </row>
        <row r="156">
          <cell r="BM156" t="str">
            <v>GS 14/10</v>
          </cell>
        </row>
        <row r="157">
          <cell r="BM157" t="str">
            <v>GS 15/1</v>
          </cell>
        </row>
        <row r="158">
          <cell r="BM158" t="str">
            <v>GS 15/2</v>
          </cell>
        </row>
        <row r="159">
          <cell r="BM159" t="str">
            <v>GS 15/3</v>
          </cell>
        </row>
        <row r="160">
          <cell r="BM160" t="str">
            <v>GS 15/4</v>
          </cell>
        </row>
        <row r="161">
          <cell r="BM161" t="str">
            <v>GS 15/5</v>
          </cell>
        </row>
        <row r="162">
          <cell r="BM162" t="str">
            <v>GS 15/6</v>
          </cell>
        </row>
        <row r="163">
          <cell r="BM163" t="str">
            <v>GS 15/7</v>
          </cell>
        </row>
        <row r="164">
          <cell r="BM164" t="str">
            <v>GS 15/8</v>
          </cell>
        </row>
        <row r="165">
          <cell r="BM165" t="str">
            <v>GS 15/9</v>
          </cell>
        </row>
        <row r="166">
          <cell r="BM166" t="str">
            <v>GS 15/10</v>
          </cell>
        </row>
      </sheetData>
      <sheetData sheetId="10"/>
      <sheetData sheetId="11" refreshError="1"/>
      <sheetData sheetId="12" refreshError="1"/>
      <sheetData sheetId="13">
        <row r="7">
          <cell r="G7">
            <v>120399.95999999999</v>
          </cell>
        </row>
      </sheetData>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Yu Gothic Light"/>
        <a:font script="Hang" typeface="맑은 고딕"/>
        <a:font script="Hans" typeface="DengXian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Yu Gothic"/>
        <a:font script="Hang" typeface="맑은 고딕"/>
        <a:font script="Hans" typeface="DengXian"/>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 Id="rId2"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 Id="rId2"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 Id="rId2" Type="http://schemas.openxmlformats.org/officeDocument/2006/relationships/drawing" Target="../drawings/drawing4.xml"/></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enableFormatConditionsCalculation="0">
    <pageSetUpPr fitToPage="1"/>
  </sheetPr>
  <dimension ref="A1:S75"/>
  <sheetViews>
    <sheetView workbookViewId="0">
      <selection activeCell="S1" sqref="S1"/>
    </sheetView>
  </sheetViews>
  <sheetFormatPr baseColWidth="10" defaultColWidth="8.83203125" defaultRowHeight="15" x14ac:dyDescent="0.2"/>
  <cols>
    <col min="1" max="1" width="1.83203125" customWidth="1"/>
    <col min="2" max="2" width="4" customWidth="1"/>
    <col min="3" max="3" width="1.83203125" customWidth="1"/>
    <col min="4" max="5" width="4" customWidth="1"/>
    <col min="6" max="6" width="12" customWidth="1"/>
    <col min="7" max="7" width="8.5" customWidth="1"/>
    <col min="8" max="8" width="5" customWidth="1"/>
    <col min="9" max="9" width="4.83203125" customWidth="1"/>
    <col min="10" max="10" width="11.6640625" customWidth="1"/>
    <col min="11" max="11" width="12.6640625" customWidth="1"/>
    <col min="12" max="12" width="13.5" customWidth="1"/>
    <col min="13" max="13" width="12.6640625" customWidth="1"/>
    <col min="14" max="14" width="3.6640625" customWidth="1"/>
    <col min="15" max="15" width="9.1640625" customWidth="1"/>
    <col min="16" max="16" width="8.5" customWidth="1"/>
    <col min="17" max="17" width="12.6640625" customWidth="1"/>
    <col min="18" max="18" width="13" customWidth="1"/>
    <col min="19" max="19" width="12.6640625" customWidth="1"/>
  </cols>
  <sheetData>
    <row r="1" spans="1:19" ht="19" x14ac:dyDescent="0.25">
      <c r="A1" s="17" t="s">
        <v>41</v>
      </c>
      <c r="R1" s="18" t="s">
        <v>12</v>
      </c>
      <c r="S1" s="25" t="s">
        <v>265</v>
      </c>
    </row>
    <row r="2" spans="1:19" ht="19.5" customHeight="1" x14ac:dyDescent="0.2"/>
    <row r="3" spans="1:19" ht="16" x14ac:dyDescent="0.2">
      <c r="A3" s="53" t="s">
        <v>38</v>
      </c>
      <c r="B3" s="54"/>
      <c r="C3" s="54"/>
      <c r="D3" s="54"/>
      <c r="E3" s="54"/>
      <c r="F3" s="54"/>
      <c r="G3" s="54"/>
      <c r="H3" s="54"/>
      <c r="I3" s="54"/>
      <c r="J3" s="54"/>
      <c r="K3" s="54"/>
      <c r="L3" s="54"/>
      <c r="M3" s="54"/>
      <c r="N3" s="54"/>
      <c r="O3" s="54"/>
      <c r="P3" s="54"/>
      <c r="Q3" s="54"/>
      <c r="R3" s="54"/>
      <c r="S3" s="54"/>
    </row>
    <row r="4" spans="1:19" s="23" customFormat="1" ht="7.5" customHeight="1" x14ac:dyDescent="0.2">
      <c r="A4" s="22"/>
    </row>
    <row r="5" spans="1:19" x14ac:dyDescent="0.2">
      <c r="A5" s="16" t="s">
        <v>42</v>
      </c>
      <c r="F5" s="226"/>
      <c r="G5" s="226"/>
      <c r="H5" s="226"/>
      <c r="I5" s="226"/>
      <c r="J5" s="226"/>
      <c r="K5" s="226"/>
      <c r="M5" s="16" t="s">
        <v>4</v>
      </c>
      <c r="N5" s="16"/>
      <c r="O5" s="227"/>
      <c r="P5" s="227"/>
      <c r="Q5" s="227"/>
      <c r="R5" s="227"/>
      <c r="S5" s="227"/>
    </row>
    <row r="6" spans="1:19" ht="7.5" customHeight="1" x14ac:dyDescent="0.2">
      <c r="A6" s="16"/>
      <c r="F6" s="20"/>
      <c r="G6" s="20"/>
      <c r="H6" s="20"/>
      <c r="I6" s="20"/>
      <c r="J6" s="20"/>
      <c r="K6" s="20"/>
      <c r="M6" s="16"/>
      <c r="N6" s="16"/>
      <c r="O6" s="20"/>
      <c r="P6" s="20"/>
      <c r="Q6" s="20"/>
      <c r="R6" s="20"/>
      <c r="S6" s="20"/>
    </row>
    <row r="7" spans="1:19" x14ac:dyDescent="0.2">
      <c r="A7" s="16" t="s">
        <v>3</v>
      </c>
      <c r="F7" s="227"/>
      <c r="G7" s="227"/>
      <c r="H7" s="227"/>
      <c r="I7" s="227"/>
      <c r="J7" s="227"/>
      <c r="K7" s="227"/>
      <c r="M7" s="16" t="s">
        <v>5</v>
      </c>
      <c r="N7" s="16"/>
      <c r="O7" s="227"/>
      <c r="P7" s="227"/>
      <c r="Q7" s="227"/>
      <c r="R7" s="227"/>
      <c r="S7" s="227"/>
    </row>
    <row r="8" spans="1:19" ht="16" thickBot="1" x14ac:dyDescent="0.25"/>
    <row r="9" spans="1:19" ht="15" customHeight="1" thickBot="1" x14ac:dyDescent="0.25">
      <c r="A9" s="210"/>
      <c r="B9" t="s">
        <v>244</v>
      </c>
      <c r="C9" s="210"/>
      <c r="D9" t="s">
        <v>245</v>
      </c>
      <c r="F9" s="211" t="s">
        <v>251</v>
      </c>
      <c r="G9" s="211"/>
      <c r="H9" s="211"/>
      <c r="I9" s="211"/>
      <c r="J9" s="211"/>
      <c r="K9" s="211"/>
    </row>
    <row r="10" spans="1:19" ht="39.75" customHeight="1" x14ac:dyDescent="0.2">
      <c r="A10" s="3"/>
      <c r="B10" s="3"/>
      <c r="C10" s="3"/>
      <c r="D10" s="3"/>
      <c r="E10" s="3"/>
      <c r="F10" s="15" t="s">
        <v>61</v>
      </c>
      <c r="G10" s="15"/>
      <c r="H10" s="32" t="s">
        <v>45</v>
      </c>
      <c r="I10" s="32" t="s">
        <v>60</v>
      </c>
      <c r="J10" s="13" t="s">
        <v>13</v>
      </c>
      <c r="K10" s="13" t="s">
        <v>14</v>
      </c>
      <c r="L10" s="55" t="s">
        <v>6</v>
      </c>
      <c r="M10" s="14" t="s">
        <v>183</v>
      </c>
      <c r="N10" s="223" t="s">
        <v>7</v>
      </c>
      <c r="O10" s="223"/>
      <c r="P10" s="14" t="s">
        <v>44</v>
      </c>
      <c r="Q10" s="14" t="s">
        <v>8</v>
      </c>
      <c r="R10" s="13" t="s">
        <v>9</v>
      </c>
      <c r="S10" s="57" t="s">
        <v>10</v>
      </c>
    </row>
    <row r="11" spans="1:19" ht="18" customHeight="1" x14ac:dyDescent="0.2">
      <c r="A11" s="16" t="s">
        <v>11</v>
      </c>
      <c r="F11" s="229"/>
      <c r="G11" s="230"/>
      <c r="H11" s="199"/>
      <c r="I11" s="199"/>
      <c r="J11" s="5"/>
      <c r="K11" s="5"/>
      <c r="L11" s="56">
        <f>J11+K11</f>
        <v>0</v>
      </c>
      <c r="M11" s="5"/>
      <c r="N11" s="224">
        <f>L11+M11</f>
        <v>0</v>
      </c>
      <c r="O11" s="225" t="e">
        <f>Worksheet!#REF!</f>
        <v>#REF!</v>
      </c>
      <c r="P11" s="36"/>
      <c r="Q11" s="5">
        <f>ROUND(SUM(L11:M11)/9,2)*3</f>
        <v>0</v>
      </c>
      <c r="R11" s="5"/>
      <c r="S11" s="58">
        <f>ROUND(N11*P11+Q11+R11,2)</f>
        <v>0</v>
      </c>
    </row>
    <row r="12" spans="1:19" ht="7.5" customHeight="1" x14ac:dyDescent="0.2">
      <c r="A12" s="16"/>
      <c r="F12" s="207"/>
      <c r="G12" s="207"/>
      <c r="H12" s="208"/>
      <c r="I12" s="208"/>
      <c r="J12" s="80"/>
      <c r="K12" s="80"/>
      <c r="L12" s="80"/>
      <c r="M12" s="80"/>
      <c r="N12" s="80"/>
      <c r="O12" s="80"/>
      <c r="P12" s="209"/>
      <c r="Q12" s="80"/>
      <c r="R12" s="80"/>
      <c r="S12" s="73"/>
    </row>
    <row r="13" spans="1:19" x14ac:dyDescent="0.2">
      <c r="J13" s="1"/>
      <c r="K13" s="1"/>
      <c r="L13" s="1"/>
      <c r="M13" s="2"/>
      <c r="N13" s="2"/>
      <c r="O13" s="6"/>
      <c r="P13" s="6"/>
      <c r="Q13" s="2"/>
      <c r="R13" s="1"/>
      <c r="S13" s="2"/>
    </row>
    <row r="14" spans="1:19" x14ac:dyDescent="0.2">
      <c r="A14" s="16" t="s">
        <v>20</v>
      </c>
      <c r="J14" s="5">
        <f>ROUND(M11*P11*0.1,0)</f>
        <v>0</v>
      </c>
      <c r="L14" s="164" t="s">
        <v>252</v>
      </c>
      <c r="M14" s="160">
        <f>IFERROR(ROUND(M11/L11,4),0)</f>
        <v>0</v>
      </c>
    </row>
    <row r="15" spans="1:19" ht="19.5" customHeight="1" x14ac:dyDescent="0.2"/>
    <row r="16" spans="1:19" ht="16" x14ac:dyDescent="0.2">
      <c r="A16" s="53" t="s">
        <v>15</v>
      </c>
      <c r="B16" s="54"/>
      <c r="C16" s="54"/>
      <c r="D16" s="54"/>
      <c r="E16" s="54"/>
      <c r="F16" s="54"/>
      <c r="G16" s="54"/>
      <c r="H16" s="54"/>
      <c r="I16" s="54"/>
      <c r="J16" s="54"/>
      <c r="K16" s="54"/>
      <c r="L16" s="54"/>
      <c r="M16" s="54"/>
      <c r="N16" s="54"/>
      <c r="O16" s="54"/>
      <c r="P16" s="54"/>
      <c r="Q16" s="54"/>
      <c r="R16" s="54"/>
      <c r="S16" s="54"/>
    </row>
    <row r="17" spans="2:19" ht="9" customHeight="1" x14ac:dyDescent="0.2"/>
    <row r="18" spans="2:19" x14ac:dyDescent="0.2">
      <c r="B18" s="10"/>
      <c r="C18" s="9"/>
      <c r="D18" t="s">
        <v>16</v>
      </c>
    </row>
    <row r="19" spans="2:19" ht="7.5" customHeight="1" x14ac:dyDescent="0.2">
      <c r="B19" s="11"/>
      <c r="C19" s="9"/>
    </row>
    <row r="20" spans="2:19" x14ac:dyDescent="0.2">
      <c r="B20" s="10"/>
      <c r="C20" s="9"/>
      <c r="D20" t="s">
        <v>17</v>
      </c>
    </row>
    <row r="21" spans="2:19" ht="7.5" customHeight="1" x14ac:dyDescent="0.2">
      <c r="B21" s="11"/>
      <c r="C21" s="9"/>
    </row>
    <row r="22" spans="2:19" ht="15" customHeight="1" x14ac:dyDescent="0.2">
      <c r="B22" s="10"/>
      <c r="C22" s="9"/>
      <c r="D22" s="24" t="s">
        <v>259</v>
      </c>
      <c r="E22" s="24"/>
      <c r="F22" s="4"/>
      <c r="G22" s="161"/>
      <c r="H22" s="161"/>
      <c r="I22" s="161"/>
      <c r="J22" s="4"/>
      <c r="K22" s="4"/>
      <c r="L22" s="4"/>
      <c r="M22" s="4"/>
      <c r="N22" s="4"/>
      <c r="O22" s="4"/>
      <c r="P22" s="8"/>
      <c r="Q22" s="4"/>
      <c r="R22" s="4"/>
      <c r="S22" s="4"/>
    </row>
    <row r="23" spans="2:19" ht="7.5" customHeight="1" x14ac:dyDescent="0.2">
      <c r="B23" s="11"/>
      <c r="C23" s="41"/>
    </row>
    <row r="24" spans="2:19" x14ac:dyDescent="0.2">
      <c r="B24" s="10"/>
      <c r="C24" s="41"/>
      <c r="D24" t="s">
        <v>250</v>
      </c>
      <c r="N24" s="10"/>
      <c r="O24" t="s">
        <v>253</v>
      </c>
    </row>
    <row r="25" spans="2:19" ht="7.5" customHeight="1" x14ac:dyDescent="0.2">
      <c r="B25" s="11"/>
      <c r="C25" s="41"/>
    </row>
    <row r="26" spans="2:19" x14ac:dyDescent="0.2">
      <c r="B26" s="10"/>
      <c r="C26" s="41"/>
      <c r="D26" t="str">
        <f>"I will have overload teaching this academic year."</f>
        <v>I will have overload teaching this academic year.</v>
      </c>
      <c r="N26" s="19"/>
    </row>
    <row r="27" spans="2:19" ht="7.5" customHeight="1" x14ac:dyDescent="0.2">
      <c r="B27" s="19"/>
      <c r="C27" s="41"/>
      <c r="N27" s="19"/>
    </row>
    <row r="28" spans="2:19" s="23" customFormat="1" ht="15" customHeight="1" thickBot="1" x14ac:dyDescent="0.25">
      <c r="B28" s="77"/>
      <c r="C28" s="75"/>
      <c r="D28" s="77"/>
      <c r="F28" s="212"/>
      <c r="G28" s="23" t="s">
        <v>254</v>
      </c>
      <c r="K28" s="77"/>
      <c r="L28" s="212"/>
      <c r="M28" s="23" t="s">
        <v>255</v>
      </c>
    </row>
    <row r="29" spans="2:19" ht="15" customHeight="1" x14ac:dyDescent="0.2">
      <c r="B29" s="19"/>
      <c r="C29" s="41"/>
    </row>
    <row r="30" spans="2:19" x14ac:dyDescent="0.2">
      <c r="D30" s="12"/>
      <c r="E30" s="12"/>
      <c r="F30" s="12"/>
      <c r="G30" s="12"/>
      <c r="H30" s="12"/>
      <c r="I30" s="12"/>
      <c r="J30" s="12"/>
      <c r="K30" s="12"/>
      <c r="L30" s="12"/>
      <c r="P30" s="12"/>
      <c r="Q30" s="12"/>
    </row>
    <row r="31" spans="2:19" x14ac:dyDescent="0.2">
      <c r="D31" t="s">
        <v>18</v>
      </c>
      <c r="P31" t="s">
        <v>19</v>
      </c>
    </row>
    <row r="32" spans="2:19" ht="19.5" customHeight="1" x14ac:dyDescent="0.2"/>
    <row r="33" spans="1:19" ht="15.75" customHeight="1" x14ac:dyDescent="0.2">
      <c r="A33" s="53" t="s">
        <v>21</v>
      </c>
      <c r="B33" s="54"/>
      <c r="C33" s="54"/>
      <c r="D33" s="54"/>
      <c r="E33" s="54"/>
      <c r="F33" s="54"/>
      <c r="G33" s="54"/>
      <c r="H33" s="54"/>
      <c r="I33" s="54"/>
      <c r="J33" s="54"/>
      <c r="K33" s="54"/>
      <c r="L33" s="54"/>
      <c r="M33" s="54"/>
      <c r="N33" s="54"/>
      <c r="O33" s="54"/>
      <c r="P33" s="54"/>
      <c r="Q33" s="54"/>
      <c r="R33" s="54"/>
      <c r="S33" s="54"/>
    </row>
    <row r="34" spans="1:19" ht="7.5" customHeight="1" x14ac:dyDescent="0.2"/>
    <row r="35" spans="1:19" x14ac:dyDescent="0.2">
      <c r="B35" s="10"/>
      <c r="C35" s="9"/>
      <c r="D35" s="228" t="str">
        <f>"I have verified that the funds listed on the attached worksheet are appropriate and sufficient to cover the salary, benefits, and contingency fund obligations and will be available for the period of July 1, "&amp;LEFT(S1,4)&amp;" through June 30, "&amp;RIGHT(S1,4)&amp;", including funds from other administrative units."</f>
        <v>I have verified that the funds listed on the attached worksheet are appropriate and sufficient to cover the salary, benefits, and contingency fund obligations and will be available for the period of July 1, 2017 through June 30, 2018, including funds from other administrative units.</v>
      </c>
      <c r="E35" s="228"/>
      <c r="F35" s="228"/>
      <c r="G35" s="228"/>
      <c r="H35" s="228"/>
      <c r="I35" s="228"/>
      <c r="J35" s="228"/>
      <c r="K35" s="228"/>
      <c r="L35" s="228"/>
      <c r="M35" s="228"/>
      <c r="N35" s="228"/>
      <c r="O35" s="228"/>
      <c r="P35" s="228"/>
      <c r="Q35" s="228"/>
      <c r="R35" s="228"/>
      <c r="S35" s="228"/>
    </row>
    <row r="36" spans="1:19" x14ac:dyDescent="0.2">
      <c r="B36" s="19"/>
      <c r="C36" s="9"/>
      <c r="D36" s="228"/>
      <c r="E36" s="228"/>
      <c r="F36" s="228"/>
      <c r="G36" s="228"/>
      <c r="H36" s="228"/>
      <c r="I36" s="228"/>
      <c r="J36" s="228"/>
      <c r="K36" s="228"/>
      <c r="L36" s="228"/>
      <c r="M36" s="228"/>
      <c r="N36" s="228"/>
      <c r="O36" s="228"/>
      <c r="P36" s="228"/>
      <c r="Q36" s="228"/>
      <c r="R36" s="228"/>
      <c r="S36" s="228"/>
    </row>
    <row r="37" spans="1:19" ht="7.5" customHeight="1" x14ac:dyDescent="0.2">
      <c r="B37" s="19"/>
      <c r="C37" s="41"/>
      <c r="D37" s="81"/>
      <c r="E37" s="162"/>
      <c r="F37" s="228"/>
      <c r="G37" s="228"/>
      <c r="H37" s="228"/>
      <c r="I37" s="228"/>
      <c r="J37" s="228"/>
      <c r="K37" s="228"/>
      <c r="L37" s="228"/>
      <c r="M37" s="228"/>
      <c r="N37" s="228"/>
      <c r="O37" s="228"/>
      <c r="P37" s="228"/>
      <c r="Q37" s="228"/>
      <c r="R37" s="228"/>
      <c r="S37" s="228"/>
    </row>
    <row r="38" spans="1:19" x14ac:dyDescent="0.2">
      <c r="B38" s="19"/>
      <c r="C38" s="41"/>
      <c r="D38" s="10"/>
      <c r="E38" s="19"/>
      <c r="F38" s="228" t="s">
        <v>117</v>
      </c>
      <c r="G38" s="228"/>
      <c r="H38" s="228"/>
      <c r="I38" s="228"/>
      <c r="J38" s="228"/>
      <c r="K38" s="228"/>
      <c r="L38" s="228"/>
      <c r="M38" s="228"/>
      <c r="N38" s="228"/>
      <c r="O38" s="228"/>
      <c r="P38" s="228"/>
      <c r="Q38" s="228"/>
      <c r="R38" s="228"/>
      <c r="S38" s="228"/>
    </row>
    <row r="39" spans="1:19" ht="7.5" customHeight="1" x14ac:dyDescent="0.2">
      <c r="B39" s="19"/>
      <c r="C39" s="41"/>
      <c r="D39" s="81"/>
      <c r="E39" s="162"/>
      <c r="F39" s="228"/>
      <c r="G39" s="228"/>
      <c r="H39" s="228"/>
      <c r="I39" s="228"/>
      <c r="J39" s="228"/>
      <c r="K39" s="228"/>
      <c r="L39" s="228"/>
      <c r="M39" s="228"/>
      <c r="N39" s="228"/>
      <c r="O39" s="228"/>
      <c r="P39" s="228"/>
      <c r="Q39" s="228"/>
      <c r="R39" s="228"/>
      <c r="S39" s="228"/>
    </row>
    <row r="40" spans="1:19" x14ac:dyDescent="0.2">
      <c r="B40" s="19"/>
      <c r="C40" s="41"/>
      <c r="D40" s="10"/>
      <c r="E40" s="19"/>
      <c r="F40" s="228" t="s">
        <v>118</v>
      </c>
      <c r="G40" s="228"/>
      <c r="H40" s="228"/>
      <c r="I40" s="228"/>
      <c r="J40" s="228"/>
      <c r="K40" s="228"/>
      <c r="L40" s="228"/>
      <c r="M40" s="228"/>
      <c r="N40" s="228"/>
      <c r="O40" s="228"/>
      <c r="P40" s="228"/>
      <c r="Q40" s="228"/>
      <c r="R40" s="228"/>
      <c r="S40" s="228"/>
    </row>
    <row r="42" spans="1:19" x14ac:dyDescent="0.2">
      <c r="D42" s="12"/>
      <c r="E42" s="12"/>
      <c r="F42" s="12"/>
      <c r="G42" s="12"/>
      <c r="H42" s="12"/>
      <c r="I42" s="12"/>
      <c r="J42" s="12"/>
      <c r="K42" s="12"/>
      <c r="L42" s="20"/>
      <c r="M42" s="12"/>
      <c r="N42" s="12"/>
      <c r="O42" s="12"/>
      <c r="P42" s="20"/>
      <c r="Q42" s="12"/>
      <c r="R42" s="12"/>
    </row>
    <row r="43" spans="1:19" x14ac:dyDescent="0.2">
      <c r="D43" t="s">
        <v>31</v>
      </c>
      <c r="M43" t="s">
        <v>32</v>
      </c>
      <c r="Q43" t="s">
        <v>19</v>
      </c>
    </row>
    <row r="44" spans="1:19" ht="19.5" customHeight="1" x14ac:dyDescent="0.2"/>
    <row r="45" spans="1:19" s="18" customFormat="1" ht="16" x14ac:dyDescent="0.2">
      <c r="A45" s="53" t="s">
        <v>23</v>
      </c>
      <c r="B45" s="54"/>
      <c r="C45" s="54"/>
      <c r="D45" s="54"/>
      <c r="E45" s="54"/>
      <c r="F45" s="54"/>
      <c r="G45" s="54"/>
      <c r="H45" s="54"/>
      <c r="I45" s="54"/>
      <c r="J45" s="54"/>
      <c r="K45" s="54"/>
      <c r="L45" s="54"/>
      <c r="M45" s="54"/>
      <c r="N45" s="54"/>
      <c r="O45" s="54"/>
      <c r="P45" s="54"/>
      <c r="Q45" s="54"/>
      <c r="R45" s="54"/>
      <c r="S45" s="54"/>
    </row>
    <row r="46" spans="1:19" ht="7.5" customHeight="1" x14ac:dyDescent="0.2"/>
    <row r="47" spans="1:19" x14ac:dyDescent="0.2">
      <c r="B47" s="10"/>
      <c r="C47" s="9"/>
      <c r="D47" t="s">
        <v>22</v>
      </c>
    </row>
    <row r="48" spans="1:19" ht="7.5" customHeight="1" x14ac:dyDescent="0.2">
      <c r="B48" s="19"/>
      <c r="C48" s="9"/>
    </row>
    <row r="49" spans="1:19" x14ac:dyDescent="0.2">
      <c r="D49" s="21" t="s">
        <v>33</v>
      </c>
      <c r="E49" s="21"/>
      <c r="F49" s="222" t="s">
        <v>99</v>
      </c>
      <c r="G49" s="222"/>
      <c r="H49" s="222"/>
      <c r="I49" s="222"/>
      <c r="J49" s="222"/>
      <c r="K49" s="222"/>
      <c r="L49" s="222"/>
      <c r="M49" s="222"/>
      <c r="N49" s="222"/>
      <c r="O49" s="222"/>
      <c r="P49" s="222"/>
      <c r="Q49" s="222"/>
      <c r="R49" s="222"/>
      <c r="S49" s="222"/>
    </row>
    <row r="50" spans="1:19" x14ac:dyDescent="0.2">
      <c r="D50" s="21"/>
      <c r="E50" s="21"/>
      <c r="F50" s="222"/>
      <c r="G50" s="222"/>
      <c r="H50" s="222"/>
      <c r="I50" s="222"/>
      <c r="J50" s="222"/>
      <c r="K50" s="222"/>
      <c r="L50" s="222"/>
      <c r="M50" s="222"/>
      <c r="N50" s="222"/>
      <c r="O50" s="222"/>
      <c r="P50" s="222"/>
      <c r="Q50" s="222"/>
      <c r="R50" s="222"/>
      <c r="S50" s="222"/>
    </row>
    <row r="51" spans="1:19" ht="17.25" customHeight="1" x14ac:dyDescent="0.2">
      <c r="D51" s="21" t="s">
        <v>33</v>
      </c>
      <c r="E51" s="21"/>
      <c r="F51" t="s">
        <v>24</v>
      </c>
    </row>
    <row r="52" spans="1:19" ht="17.25" customHeight="1" x14ac:dyDescent="0.2">
      <c r="D52" s="21" t="s">
        <v>33</v>
      </c>
      <c r="E52" s="21"/>
      <c r="F52" t="s">
        <v>25</v>
      </c>
    </row>
    <row r="53" spans="1:19" ht="17.25" customHeight="1" x14ac:dyDescent="0.2">
      <c r="D53" s="21" t="s">
        <v>33</v>
      </c>
      <c r="E53" s="21"/>
      <c r="F53" t="s">
        <v>26</v>
      </c>
    </row>
    <row r="54" spans="1:19" ht="17.25" customHeight="1" x14ac:dyDescent="0.2">
      <c r="D54" s="21" t="s">
        <v>33</v>
      </c>
      <c r="E54" s="21"/>
      <c r="F54" t="s">
        <v>27</v>
      </c>
    </row>
    <row r="55" spans="1:19" ht="7.5" customHeight="1" x14ac:dyDescent="0.2"/>
    <row r="56" spans="1:19" x14ac:dyDescent="0.2">
      <c r="B56" s="10"/>
      <c r="C56" s="9"/>
      <c r="D56" t="s">
        <v>30</v>
      </c>
    </row>
    <row r="57" spans="1:19" ht="7.5" customHeight="1" x14ac:dyDescent="0.2"/>
    <row r="58" spans="1:19" x14ac:dyDescent="0.2">
      <c r="B58" s="10"/>
      <c r="C58" s="9"/>
      <c r="D58" t="s">
        <v>28</v>
      </c>
    </row>
    <row r="60" spans="1:19" x14ac:dyDescent="0.2">
      <c r="D60" s="12"/>
      <c r="E60" s="12"/>
      <c r="F60" s="12"/>
      <c r="G60" s="12"/>
      <c r="H60" s="12"/>
      <c r="I60" s="12"/>
      <c r="J60" s="12"/>
      <c r="K60" s="12"/>
      <c r="L60" s="20"/>
      <c r="M60" s="12"/>
      <c r="N60" s="12"/>
      <c r="O60" s="12"/>
      <c r="P60" s="12"/>
      <c r="Q60" s="12"/>
      <c r="R60" s="12"/>
    </row>
    <row r="61" spans="1:19" x14ac:dyDescent="0.2">
      <c r="D61" t="s">
        <v>246</v>
      </c>
      <c r="K61" t="s">
        <v>19</v>
      </c>
      <c r="L61" s="20"/>
      <c r="M61" t="s">
        <v>247</v>
      </c>
      <c r="R61" t="s">
        <v>19</v>
      </c>
    </row>
    <row r="62" spans="1:19" ht="19.5" customHeight="1" x14ac:dyDescent="0.2"/>
    <row r="63" spans="1:19" ht="16" x14ac:dyDescent="0.2">
      <c r="A63" s="53" t="s">
        <v>35</v>
      </c>
      <c r="B63" s="54"/>
      <c r="C63" s="54"/>
      <c r="D63" s="54"/>
      <c r="E63" s="54"/>
      <c r="F63" s="54"/>
      <c r="G63" s="54"/>
      <c r="H63" s="54"/>
      <c r="I63" s="54"/>
      <c r="J63" s="54"/>
      <c r="K63" s="54"/>
      <c r="L63" s="54"/>
      <c r="M63" s="54"/>
      <c r="N63" s="54"/>
      <c r="O63" s="54"/>
      <c r="P63" s="54"/>
      <c r="Q63" s="54"/>
      <c r="R63" s="54"/>
      <c r="S63" s="54"/>
    </row>
    <row r="64" spans="1:19" ht="7.5" customHeight="1" x14ac:dyDescent="0.2"/>
    <row r="65" spans="1:19" x14ac:dyDescent="0.2">
      <c r="D65" t="s">
        <v>36</v>
      </c>
    </row>
    <row r="67" spans="1:19" x14ac:dyDescent="0.2">
      <c r="D67" s="12"/>
      <c r="E67" s="12"/>
      <c r="F67" s="12"/>
      <c r="G67" s="12"/>
      <c r="H67" s="12"/>
      <c r="I67" s="12"/>
      <c r="J67" s="12"/>
      <c r="K67" s="12"/>
      <c r="L67" s="20"/>
      <c r="M67" s="12"/>
      <c r="N67" s="12"/>
      <c r="O67" s="12"/>
      <c r="P67" s="12"/>
      <c r="Q67" s="12"/>
      <c r="R67" s="12"/>
    </row>
    <row r="68" spans="1:19" x14ac:dyDescent="0.2">
      <c r="D68" t="s">
        <v>248</v>
      </c>
      <c r="K68" t="s">
        <v>19</v>
      </c>
      <c r="L68" s="20"/>
      <c r="M68" t="s">
        <v>249</v>
      </c>
      <c r="R68" t="s">
        <v>19</v>
      </c>
    </row>
    <row r="69" spans="1:19" ht="19.5" customHeight="1" x14ac:dyDescent="0.2"/>
    <row r="70" spans="1:19" ht="16" x14ac:dyDescent="0.2">
      <c r="A70" s="53" t="s">
        <v>34</v>
      </c>
      <c r="B70" s="54"/>
      <c r="C70" s="54"/>
      <c r="D70" s="54"/>
      <c r="E70" s="54"/>
      <c r="F70" s="54"/>
      <c r="G70" s="54"/>
      <c r="H70" s="54"/>
      <c r="I70" s="54"/>
      <c r="J70" s="54"/>
      <c r="K70" s="54"/>
      <c r="L70" s="54"/>
      <c r="M70" s="54"/>
      <c r="N70" s="54"/>
      <c r="O70" s="54"/>
      <c r="P70" s="54"/>
      <c r="Q70" s="54"/>
      <c r="R70" s="54"/>
      <c r="S70" s="54"/>
    </row>
    <row r="71" spans="1:19" ht="7.5" customHeight="1" x14ac:dyDescent="0.2"/>
    <row r="72" spans="1:19" x14ac:dyDescent="0.2">
      <c r="D72" t="s">
        <v>29</v>
      </c>
    </row>
    <row r="74" spans="1:19" x14ac:dyDescent="0.2">
      <c r="D74" s="12"/>
      <c r="E74" s="12"/>
      <c r="F74" s="12"/>
      <c r="G74" s="12"/>
      <c r="H74" s="12"/>
      <c r="I74" s="12"/>
      <c r="J74" s="12"/>
      <c r="K74" s="12"/>
      <c r="L74" s="12"/>
      <c r="O74" s="12"/>
      <c r="P74" s="12"/>
      <c r="Q74" s="20"/>
    </row>
    <row r="75" spans="1:19" x14ac:dyDescent="0.2">
      <c r="D75" t="s">
        <v>37</v>
      </c>
      <c r="O75" t="s">
        <v>19</v>
      </c>
    </row>
  </sheetData>
  <mergeCells count="13">
    <mergeCell ref="F49:S50"/>
    <mergeCell ref="N10:O10"/>
    <mergeCell ref="N11:O11"/>
    <mergeCell ref="F5:K5"/>
    <mergeCell ref="F7:K7"/>
    <mergeCell ref="O5:S5"/>
    <mergeCell ref="O7:S7"/>
    <mergeCell ref="D35:S36"/>
    <mergeCell ref="F37:S37"/>
    <mergeCell ref="F38:S38"/>
    <mergeCell ref="F39:S39"/>
    <mergeCell ref="F40:S40"/>
    <mergeCell ref="F11:G11"/>
  </mergeCells>
  <dataValidations count="1">
    <dataValidation type="list" errorStyle="warning" allowBlank="1" showInputMessage="1" showErrorMessage="1" errorTitle="Warning" error="You have entered a type not on our list" promptTitle="Fund Source" prompt="Please enter funding type" sqref="L2:L4">
      <formula1>$S$1:$S$5</formula1>
    </dataValidation>
  </dataValidations>
  <pageMargins left="0.25" right="0.25" top="0.75" bottom="0.5" header="0.3" footer="0.3"/>
  <pageSetup scale="65" fitToHeight="0" orientation="portrait" r:id="rId1"/>
  <drawing r:id="rId2"/>
  <extLst>
    <ext xmlns:x14="http://schemas.microsoft.com/office/spreadsheetml/2009/9/main" uri="{CCE6A557-97BC-4b89-ADB6-D9C93CAAB3DF}">
      <x14:dataValidations xmlns:xm="http://schemas.microsoft.com/office/excel/2006/main" count="4">
        <x14:dataValidation type="list" errorStyle="warning" allowBlank="1" showInputMessage="1" showErrorMessage="1" error="Is division correct?" promptTitle="Division/School" prompt="Please enter division(s) and/or school(s) for appointment(s)">
          <x14:formula1>
            <xm:f>DropDown!$D$2:$D$11</xm:f>
          </x14:formula1>
          <xm:sqref>O7:S7</xm:sqref>
        </x14:dataValidation>
        <x14:dataValidation type="list" allowBlank="1" showInputMessage="1" showErrorMessage="1" promptTitle="On/Off Scale" prompt="Please enter OS for off-scale or leave blank">
          <x14:formula1>
            <xm:f>DropDown!$C$3:$C$4</xm:f>
          </x14:formula1>
          <xm:sqref>I11:I12</xm:sqref>
        </x14:dataValidation>
        <x14:dataValidation type="list" allowBlank="1" showInputMessage="1" showErrorMessage="1" promptTitle="Faculty Step" prompt="Please enter faculty step">
          <x14:formula1>
            <xm:f>DropDown!$B$3:$B$12</xm:f>
          </x14:formula1>
          <xm:sqref>H11:H12</xm:sqref>
        </x14:dataValidation>
        <x14:dataValidation type="list" errorStyle="warning" allowBlank="1" showInputMessage="1" showErrorMessage="1" error="Non-Senate faculty are not eligible" promptTitle="Faculty Rank" prompt="Please enter faculty rank">
          <x14:formula1>
            <xm:f>DropDown!$A$3:$A$5</xm:f>
          </x14:formula1>
          <xm:sqref>F11:F12</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enableFormatConditionsCalculation="0">
    <tabColor rgb="FF00B050"/>
    <pageSetUpPr fitToPage="1"/>
  </sheetPr>
  <dimension ref="A1:AF156"/>
  <sheetViews>
    <sheetView tabSelected="1" zoomScale="85" zoomScaleNormal="85" zoomScalePageLayoutView="85" workbookViewId="0">
      <selection activeCell="I135" sqref="I135"/>
    </sheetView>
  </sheetViews>
  <sheetFormatPr baseColWidth="10" defaultColWidth="8.83203125" defaultRowHeight="15" x14ac:dyDescent="0.2"/>
  <cols>
    <col min="1" max="1" width="10.5" customWidth="1"/>
    <col min="2" max="2" width="9.6640625" customWidth="1"/>
    <col min="3" max="3" width="10.83203125" customWidth="1"/>
    <col min="4" max="4" width="5" customWidth="1"/>
    <col min="5" max="5" width="4.33203125" customWidth="1"/>
    <col min="6" max="6" width="12" customWidth="1"/>
    <col min="7" max="7" width="12.6640625" customWidth="1"/>
    <col min="8" max="8" width="12.1640625" customWidth="1"/>
    <col min="9" max="9" width="15.83203125" customWidth="1"/>
    <col min="10" max="10" width="5.1640625" customWidth="1"/>
    <col min="11" max="11" width="9.1640625" customWidth="1"/>
    <col min="12" max="12" width="10.83203125" customWidth="1"/>
    <col min="13" max="13" width="12.6640625" customWidth="1"/>
    <col min="14" max="14" width="13.1640625" customWidth="1"/>
    <col min="15" max="15" width="12.6640625" customWidth="1"/>
    <col min="16" max="16" width="13.33203125" customWidth="1"/>
    <col min="17" max="18" width="12.6640625" customWidth="1"/>
    <col min="19" max="19" width="22.5" customWidth="1"/>
    <col min="20" max="20" width="4.1640625" customWidth="1"/>
    <col min="21" max="21" width="17.6640625" customWidth="1"/>
    <col min="22" max="22" width="7.5" customWidth="1"/>
    <col min="23" max="23" width="17.33203125" customWidth="1"/>
    <col min="24" max="24" width="5.6640625" customWidth="1"/>
    <col min="25" max="25" width="2.6640625" customWidth="1"/>
    <col min="26" max="26" width="6.1640625" customWidth="1"/>
    <col min="28" max="29" width="11.1640625" customWidth="1"/>
    <col min="30" max="30" width="10.83203125" customWidth="1"/>
    <col min="31" max="31" width="11.1640625" customWidth="1"/>
    <col min="32" max="32" width="12.5" customWidth="1"/>
    <col min="35" max="35" width="11.5" customWidth="1"/>
  </cols>
  <sheetData>
    <row r="1" spans="1:32" ht="19" x14ac:dyDescent="0.25">
      <c r="A1" s="17" t="s">
        <v>40</v>
      </c>
      <c r="N1" s="18" t="s">
        <v>12</v>
      </c>
      <c r="O1" s="33" t="str">
        <f>Request!S1</f>
        <v>2017/2018</v>
      </c>
      <c r="P1" s="75"/>
      <c r="Q1" s="75"/>
      <c r="R1" s="75"/>
      <c r="Y1" s="93"/>
    </row>
    <row r="2" spans="1:32" ht="19.5" customHeight="1" x14ac:dyDescent="0.2">
      <c r="P2" s="23"/>
      <c r="Q2" s="23"/>
      <c r="R2" s="23"/>
      <c r="Y2" s="93"/>
    </row>
    <row r="3" spans="1:32" ht="16" x14ac:dyDescent="0.2">
      <c r="A3" s="30" t="s">
        <v>38</v>
      </c>
      <c r="B3" s="31"/>
      <c r="C3" s="31"/>
      <c r="D3" s="31"/>
      <c r="E3" s="31"/>
      <c r="F3" s="31"/>
      <c r="G3" s="31"/>
      <c r="H3" s="31"/>
      <c r="I3" s="31"/>
      <c r="J3" s="31"/>
      <c r="K3" s="31"/>
      <c r="L3" s="31"/>
      <c r="M3" s="31"/>
      <c r="N3" s="31"/>
      <c r="O3" s="31"/>
      <c r="P3" s="76"/>
      <c r="Q3" s="76"/>
      <c r="R3" s="76"/>
      <c r="Y3" s="93"/>
    </row>
    <row r="4" spans="1:32" s="23" customFormat="1" ht="15" customHeight="1" x14ac:dyDescent="0.2">
      <c r="A4" s="22"/>
      <c r="Y4" s="93"/>
    </row>
    <row r="5" spans="1:32" x14ac:dyDescent="0.2">
      <c r="A5" s="16" t="s">
        <v>42</v>
      </c>
      <c r="B5" s="246">
        <f>Request!F5</f>
        <v>0</v>
      </c>
      <c r="C5" s="247"/>
      <c r="D5" s="247"/>
      <c r="E5" s="247"/>
      <c r="F5" s="247"/>
      <c r="G5" s="248"/>
      <c r="I5" s="16" t="s">
        <v>4</v>
      </c>
      <c r="J5" s="16"/>
      <c r="K5" s="235">
        <f>Request!O5</f>
        <v>0</v>
      </c>
      <c r="L5" s="236"/>
      <c r="M5" s="236"/>
      <c r="N5" s="236"/>
      <c r="O5" s="237"/>
      <c r="P5" s="77"/>
      <c r="Q5" s="77"/>
      <c r="R5" s="77"/>
      <c r="Y5" s="93"/>
    </row>
    <row r="6" spans="1:32" ht="7.5" customHeight="1" x14ac:dyDescent="0.2">
      <c r="A6" s="16"/>
      <c r="B6" s="20"/>
      <c r="C6" s="20"/>
      <c r="D6" s="20"/>
      <c r="E6" s="20"/>
      <c r="F6" s="20"/>
      <c r="G6" s="20"/>
      <c r="I6" s="16"/>
      <c r="J6" s="16"/>
      <c r="K6" s="20"/>
      <c r="L6" s="20"/>
      <c r="M6" s="20"/>
      <c r="N6" s="20"/>
      <c r="O6" s="20"/>
      <c r="P6" s="77"/>
      <c r="Q6" s="77"/>
      <c r="R6" s="77"/>
      <c r="Y6" s="93"/>
    </row>
    <row r="7" spans="1:32" x14ac:dyDescent="0.2">
      <c r="A7" s="16" t="s">
        <v>3</v>
      </c>
      <c r="B7" s="235">
        <f>Request!F7</f>
        <v>0</v>
      </c>
      <c r="C7" s="236"/>
      <c r="D7" s="236"/>
      <c r="E7" s="236"/>
      <c r="F7" s="236"/>
      <c r="G7" s="237"/>
      <c r="I7" s="16" t="s">
        <v>5</v>
      </c>
      <c r="J7" s="16"/>
      <c r="K7" s="235">
        <f>Request!O7</f>
        <v>0</v>
      </c>
      <c r="L7" s="236"/>
      <c r="M7" s="236"/>
      <c r="N7" s="236"/>
      <c r="O7" s="237"/>
      <c r="P7" s="77"/>
      <c r="Q7" s="77"/>
      <c r="R7" s="77"/>
      <c r="Y7" s="93"/>
    </row>
    <row r="8" spans="1:32" x14ac:dyDescent="0.2">
      <c r="P8" s="23"/>
      <c r="Q8" s="23"/>
      <c r="R8" s="23"/>
      <c r="Y8" s="93"/>
    </row>
    <row r="9" spans="1:32" ht="7.5" customHeight="1" x14ac:dyDescent="0.2">
      <c r="A9" s="18"/>
      <c r="P9" s="23"/>
      <c r="Q9" s="23"/>
      <c r="R9" s="23"/>
      <c r="Y9" s="93"/>
    </row>
    <row r="10" spans="1:32" x14ac:dyDescent="0.2">
      <c r="A10" s="3"/>
      <c r="P10" s="72"/>
      <c r="Q10" s="72"/>
      <c r="R10" s="72"/>
      <c r="Y10" s="93"/>
    </row>
    <row r="11" spans="1:32" ht="42" x14ac:dyDescent="0.2">
      <c r="A11" s="213"/>
      <c r="B11" s="15" t="s">
        <v>61</v>
      </c>
      <c r="C11" s="15"/>
      <c r="D11" s="32" t="s">
        <v>45</v>
      </c>
      <c r="E11" s="32" t="s">
        <v>60</v>
      </c>
      <c r="F11" s="13" t="s">
        <v>13</v>
      </c>
      <c r="G11" s="13" t="s">
        <v>14</v>
      </c>
      <c r="H11" s="14" t="s">
        <v>6</v>
      </c>
      <c r="I11" s="14" t="s">
        <v>183</v>
      </c>
      <c r="J11" s="238" t="s">
        <v>7</v>
      </c>
      <c r="K11" s="238"/>
      <c r="L11" s="14" t="s">
        <v>44</v>
      </c>
      <c r="M11" s="14" t="s">
        <v>185</v>
      </c>
      <c r="N11" s="13" t="s">
        <v>186</v>
      </c>
      <c r="O11" s="14" t="s">
        <v>10</v>
      </c>
      <c r="P11" s="73"/>
      <c r="Q11" s="73"/>
      <c r="R11" s="73"/>
      <c r="Y11" s="93"/>
      <c r="AA11" s="183" t="s">
        <v>194</v>
      </c>
      <c r="AB11" s="171"/>
      <c r="AC11" s="171"/>
      <c r="AD11" s="171"/>
      <c r="AE11" s="171"/>
      <c r="AF11" s="172"/>
    </row>
    <row r="12" spans="1:32" ht="18" customHeight="1" x14ac:dyDescent="0.2">
      <c r="A12" s="16" t="s">
        <v>11</v>
      </c>
      <c r="B12" s="240">
        <f>Request!F11</f>
        <v>0</v>
      </c>
      <c r="C12" s="241"/>
      <c r="D12" s="34">
        <f>Request!H11</f>
        <v>0</v>
      </c>
      <c r="E12" s="34">
        <f>Request!I11</f>
        <v>0</v>
      </c>
      <c r="F12" s="26">
        <f>Request!J11</f>
        <v>0</v>
      </c>
      <c r="G12" s="26">
        <f>Request!K11</f>
        <v>0</v>
      </c>
      <c r="H12" s="27">
        <f>SUM(F12:G12)</f>
        <v>0</v>
      </c>
      <c r="I12" s="26">
        <f>Request!M11</f>
        <v>0</v>
      </c>
      <c r="J12" s="242">
        <f>H12+I12</f>
        <v>0</v>
      </c>
      <c r="K12" s="243"/>
      <c r="L12" s="35">
        <f>Request!P11</f>
        <v>0</v>
      </c>
      <c r="M12" s="26">
        <f>Request!Q11</f>
        <v>0</v>
      </c>
      <c r="N12" s="26">
        <f>Request!R11</f>
        <v>0</v>
      </c>
      <c r="O12" s="28">
        <f>ROUND(J12*L12+M12+N12,2)</f>
        <v>0</v>
      </c>
      <c r="P12" s="73"/>
      <c r="Q12" s="166"/>
      <c r="R12" s="166"/>
      <c r="Y12" s="93"/>
      <c r="AA12" s="173"/>
      <c r="AB12" s="174"/>
      <c r="AC12" s="174"/>
      <c r="AD12" s="174"/>
      <c r="AE12" s="174"/>
      <c r="AF12" s="175"/>
    </row>
    <row r="13" spans="1:32" x14ac:dyDescent="0.2">
      <c r="F13" s="1"/>
      <c r="G13" s="1"/>
      <c r="H13" s="1"/>
      <c r="I13" s="2"/>
      <c r="J13" s="2"/>
      <c r="K13" s="6"/>
      <c r="L13" s="6"/>
      <c r="M13" s="2"/>
      <c r="N13" s="1"/>
      <c r="O13" s="2"/>
      <c r="P13" s="6"/>
      <c r="Q13" s="6"/>
      <c r="R13" s="6"/>
      <c r="S13" s="2"/>
      <c r="U13" s="2"/>
      <c r="W13" s="2"/>
      <c r="Y13" s="93"/>
      <c r="AA13" s="173"/>
      <c r="AB13" s="176" t="s">
        <v>188</v>
      </c>
      <c r="AC13" s="174"/>
      <c r="AD13" s="174"/>
      <c r="AE13" s="177">
        <f>H12*0.5</f>
        <v>0</v>
      </c>
      <c r="AF13" s="175"/>
    </row>
    <row r="14" spans="1:32" x14ac:dyDescent="0.2">
      <c r="G14" s="7" t="s">
        <v>79</v>
      </c>
      <c r="H14" s="37">
        <f>ROUND(H12/12,2)</f>
        <v>0</v>
      </c>
      <c r="I14" s="37">
        <f>ROUND(I12/12,2)</f>
        <v>0</v>
      </c>
      <c r="J14" s="239">
        <f>ROUND(J12/12,2)</f>
        <v>0</v>
      </c>
      <c r="K14" s="239"/>
      <c r="L14" s="38"/>
      <c r="M14" s="39">
        <f>ROUND(J12/9,2)</f>
        <v>0</v>
      </c>
      <c r="N14" s="37">
        <f>ROUND(N12/12,2)</f>
        <v>0</v>
      </c>
      <c r="O14" s="40"/>
      <c r="P14" s="38"/>
      <c r="S14" s="167"/>
      <c r="Y14" s="93"/>
      <c r="AA14" s="173"/>
      <c r="AB14" s="178" t="s">
        <v>192</v>
      </c>
      <c r="AC14" s="174"/>
      <c r="AD14" s="174"/>
      <c r="AE14" s="177">
        <f>G17</f>
        <v>0</v>
      </c>
      <c r="AF14" s="175"/>
    </row>
    <row r="15" spans="1:32" x14ac:dyDescent="0.2">
      <c r="G15" s="7"/>
      <c r="H15" s="120"/>
      <c r="I15" s="120"/>
      <c r="J15" s="120"/>
      <c r="K15" s="120"/>
      <c r="L15" s="38"/>
      <c r="M15" s="39"/>
      <c r="N15" s="120"/>
      <c r="O15" s="40"/>
      <c r="P15" s="38"/>
      <c r="S15" s="167"/>
      <c r="Y15" s="93"/>
      <c r="AA15" s="173"/>
      <c r="AB15" s="176" t="s">
        <v>187</v>
      </c>
      <c r="AC15" s="174"/>
      <c r="AD15" s="174"/>
      <c r="AE15" s="177">
        <f>AE13-AE14</f>
        <v>0</v>
      </c>
      <c r="AF15" s="175"/>
    </row>
    <row r="16" spans="1:32" x14ac:dyDescent="0.2">
      <c r="G16" s="7"/>
      <c r="H16" s="68"/>
      <c r="I16" s="68"/>
      <c r="J16" s="68"/>
      <c r="K16" s="68"/>
      <c r="L16" s="38"/>
      <c r="M16" s="39"/>
      <c r="N16" s="68"/>
      <c r="O16" s="40"/>
      <c r="P16" s="38"/>
      <c r="S16" s="167"/>
      <c r="U16" s="168"/>
      <c r="W16" s="168"/>
      <c r="Y16" s="93"/>
      <c r="AA16" s="173"/>
      <c r="AB16" s="176" t="s">
        <v>190</v>
      </c>
      <c r="AC16" s="174"/>
      <c r="AD16" s="174"/>
      <c r="AE16" s="177" t="str">
        <f>O32</f>
        <v/>
      </c>
      <c r="AF16" s="175"/>
    </row>
    <row r="17" spans="1:32" x14ac:dyDescent="0.2">
      <c r="A17" s="16" t="s">
        <v>20</v>
      </c>
      <c r="G17" s="56">
        <f>ROUND(0.1*I12*L12,0)</f>
        <v>0</v>
      </c>
      <c r="I17" s="16" t="s">
        <v>184</v>
      </c>
      <c r="K17" s="165">
        <f>IFERROR(ROUND(I12/H12,4),0)</f>
        <v>0</v>
      </c>
      <c r="M17" s="214" t="s">
        <v>256</v>
      </c>
      <c r="N17" s="215"/>
      <c r="O17" s="218">
        <f>IF(ISERROR(ROUNDUP(L12*H12/J12,4)),0,ROUNDUP(L12*H12/J12,4))</f>
        <v>0</v>
      </c>
      <c r="P17" s="23"/>
      <c r="S17" s="167"/>
      <c r="U17" s="168"/>
      <c r="W17" s="168"/>
      <c r="Y17" s="93"/>
      <c r="AA17" s="173"/>
      <c r="AB17" s="176" t="s">
        <v>191</v>
      </c>
      <c r="AC17" s="174"/>
      <c r="AD17" s="174"/>
      <c r="AE17" s="186" t="e">
        <f>AE15-AE16</f>
        <v>#VALUE!</v>
      </c>
      <c r="AF17" s="175"/>
    </row>
    <row r="18" spans="1:32" s="23" customFormat="1" x14ac:dyDescent="0.2">
      <c r="A18" s="78"/>
      <c r="G18" s="79"/>
      <c r="M18" s="216" t="s">
        <v>257</v>
      </c>
      <c r="N18" s="217"/>
      <c r="O18" s="219">
        <f>(1*L12)-O17</f>
        <v>0</v>
      </c>
      <c r="Y18" s="93"/>
      <c r="AA18" s="173"/>
      <c r="AB18" s="174"/>
      <c r="AC18" s="174"/>
      <c r="AD18" s="174"/>
      <c r="AE18" s="177"/>
      <c r="AF18" s="175"/>
    </row>
    <row r="19" spans="1:32" x14ac:dyDescent="0.2">
      <c r="A19" s="16" t="s">
        <v>116</v>
      </c>
      <c r="G19" s="56">
        <f>0.5*H12*L12</f>
        <v>0</v>
      </c>
      <c r="P19" s="23"/>
      <c r="Q19" s="23"/>
      <c r="R19" s="23"/>
      <c r="Y19" s="93"/>
      <c r="AA19" s="173"/>
      <c r="AB19" s="176" t="s">
        <v>189</v>
      </c>
      <c r="AC19" s="174"/>
      <c r="AD19" s="174"/>
      <c r="AE19" s="177">
        <f>H12-AE13</f>
        <v>0</v>
      </c>
      <c r="AF19" s="175"/>
    </row>
    <row r="20" spans="1:32" s="23" customFormat="1" x14ac:dyDescent="0.2">
      <c r="A20" s="78"/>
      <c r="G20" s="80"/>
      <c r="U20" s="122" t="s">
        <v>156</v>
      </c>
      <c r="Y20" s="93"/>
      <c r="AA20" s="173"/>
      <c r="AB20" s="176" t="s">
        <v>193</v>
      </c>
      <c r="AC20" s="174"/>
      <c r="AD20" s="174"/>
      <c r="AE20" s="177" t="str">
        <f>O33</f>
        <v/>
      </c>
      <c r="AF20" s="175"/>
    </row>
    <row r="21" spans="1:32" ht="15" customHeight="1" x14ac:dyDescent="0.2">
      <c r="P21" s="23"/>
      <c r="Q21" s="23"/>
      <c r="R21" s="23"/>
      <c r="U21" s="231" t="s">
        <v>101</v>
      </c>
      <c r="V21" s="232"/>
      <c r="Y21" s="93"/>
      <c r="AA21" s="173"/>
      <c r="AB21" s="176" t="s">
        <v>191</v>
      </c>
      <c r="AC21" s="174"/>
      <c r="AD21" s="174"/>
      <c r="AE21" s="186" t="e">
        <f>AE19-AE20</f>
        <v>#VALUE!</v>
      </c>
      <c r="AF21" s="175"/>
    </row>
    <row r="22" spans="1:32" ht="16" x14ac:dyDescent="0.2">
      <c r="A22" s="30" t="s">
        <v>43</v>
      </c>
      <c r="B22" s="31"/>
      <c r="C22" s="31"/>
      <c r="D22" s="31"/>
      <c r="E22" s="31"/>
      <c r="F22" s="31"/>
      <c r="G22" s="31"/>
      <c r="H22" s="31"/>
      <c r="I22" s="31"/>
      <c r="J22" s="31"/>
      <c r="K22" s="31"/>
      <c r="L22" s="31"/>
      <c r="M22" s="31"/>
      <c r="N22" s="31"/>
      <c r="O22" s="31"/>
      <c r="P22" s="76"/>
      <c r="Q22" s="76"/>
      <c r="R22" s="76"/>
      <c r="U22" s="66" t="s">
        <v>102</v>
      </c>
      <c r="V22" s="67">
        <v>0.379</v>
      </c>
      <c r="Y22" s="93"/>
      <c r="AA22" s="179"/>
      <c r="AB22" s="180"/>
      <c r="AC22" s="180"/>
      <c r="AD22" s="180"/>
      <c r="AE22" s="181"/>
      <c r="AF22" s="182"/>
    </row>
    <row r="23" spans="1:32" ht="16" x14ac:dyDescent="0.2">
      <c r="A23" s="124"/>
      <c r="B23" s="76"/>
      <c r="C23" s="76"/>
      <c r="D23" s="76"/>
      <c r="E23" s="76"/>
      <c r="F23" s="76"/>
      <c r="G23" s="76"/>
      <c r="H23" s="76"/>
      <c r="I23" s="76"/>
      <c r="J23" s="76"/>
      <c r="K23" s="76"/>
      <c r="L23" s="76"/>
      <c r="M23" s="76"/>
      <c r="N23" s="76"/>
      <c r="O23" s="76"/>
      <c r="P23" s="76"/>
      <c r="Q23" s="76"/>
      <c r="R23" s="76"/>
      <c r="U23" s="62" t="s">
        <v>103</v>
      </c>
      <c r="V23" s="63">
        <v>0.379</v>
      </c>
      <c r="Y23" s="93"/>
      <c r="AE23" s="170"/>
    </row>
    <row r="24" spans="1:32" x14ac:dyDescent="0.2">
      <c r="U24" s="62" t="s">
        <v>98</v>
      </c>
      <c r="V24" s="63">
        <v>0.12</v>
      </c>
      <c r="Y24" s="93"/>
      <c r="AE24" s="170"/>
    </row>
    <row r="25" spans="1:32" x14ac:dyDescent="0.2">
      <c r="A25" s="16" t="s">
        <v>92</v>
      </c>
      <c r="U25" s="64" t="s">
        <v>104</v>
      </c>
      <c r="V25" s="65">
        <v>0.12</v>
      </c>
      <c r="Y25" s="93"/>
    </row>
    <row r="26" spans="1:32" ht="44.25" customHeight="1" x14ac:dyDescent="0.2">
      <c r="A26" s="244" t="s">
        <v>266</v>
      </c>
      <c r="B26" s="244"/>
      <c r="C26" s="244"/>
      <c r="D26" s="244"/>
      <c r="E26" s="244"/>
      <c r="F26" s="244"/>
      <c r="G26" s="244"/>
      <c r="H26" s="244"/>
      <c r="I26" s="244"/>
      <c r="J26" s="244"/>
      <c r="K26" s="244"/>
      <c r="L26" s="244"/>
      <c r="M26" s="244"/>
      <c r="N26" s="244"/>
      <c r="O26" s="244"/>
      <c r="S26" s="184"/>
      <c r="Y26" s="93"/>
    </row>
    <row r="27" spans="1:32" ht="8" customHeight="1" x14ac:dyDescent="0.2">
      <c r="A27" s="163"/>
      <c r="B27" s="163"/>
      <c r="C27" s="163"/>
      <c r="D27" s="163"/>
      <c r="E27" s="163"/>
      <c r="F27" s="163"/>
      <c r="G27" s="163"/>
      <c r="H27" s="163"/>
      <c r="I27" s="163"/>
      <c r="J27" s="163"/>
      <c r="K27" s="163"/>
      <c r="L27" s="163"/>
      <c r="M27" s="163"/>
      <c r="N27" s="163"/>
      <c r="O27" s="163"/>
      <c r="S27" s="184"/>
      <c r="Y27" s="93"/>
    </row>
    <row r="28" spans="1:32" ht="30" customHeight="1" x14ac:dyDescent="0.2">
      <c r="A28" s="187" t="s">
        <v>195</v>
      </c>
      <c r="B28" s="245" t="s">
        <v>262</v>
      </c>
      <c r="C28" s="245"/>
      <c r="D28" s="245"/>
      <c r="E28" s="245"/>
      <c r="F28" s="245"/>
      <c r="G28" s="245"/>
      <c r="H28" s="245"/>
      <c r="I28" s="245"/>
      <c r="J28" s="245"/>
      <c r="K28" s="245"/>
      <c r="L28" s="245"/>
      <c r="M28" s="245"/>
      <c r="N28" s="245"/>
      <c r="O28" s="245"/>
      <c r="S28" s="184"/>
      <c r="Y28" s="93"/>
    </row>
    <row r="29" spans="1:32" ht="8" customHeight="1" x14ac:dyDescent="0.2">
      <c r="A29" s="163"/>
      <c r="B29" s="163"/>
      <c r="C29" s="163"/>
      <c r="D29" s="163"/>
      <c r="E29" s="163"/>
      <c r="F29" s="163"/>
      <c r="G29" s="163"/>
      <c r="H29" s="163"/>
      <c r="I29" s="163"/>
      <c r="J29" s="163"/>
      <c r="K29" s="163"/>
      <c r="L29" s="163"/>
      <c r="M29" s="163"/>
      <c r="N29" s="163"/>
      <c r="O29" s="163"/>
      <c r="S29" s="184"/>
      <c r="Y29" s="93"/>
    </row>
    <row r="30" spans="1:32" x14ac:dyDescent="0.2">
      <c r="A30" s="29" t="s">
        <v>70</v>
      </c>
      <c r="B30" s="29" t="s">
        <v>71</v>
      </c>
      <c r="C30" s="29" t="s">
        <v>72</v>
      </c>
      <c r="D30" s="29"/>
      <c r="E30" s="29"/>
      <c r="F30" s="29" t="s">
        <v>80</v>
      </c>
      <c r="G30" s="29"/>
      <c r="H30" s="42" t="s">
        <v>73</v>
      </c>
      <c r="I30" s="42" t="s">
        <v>74</v>
      </c>
      <c r="J30" s="43" t="s">
        <v>95</v>
      </c>
      <c r="K30" s="43" t="s">
        <v>76</v>
      </c>
      <c r="L30" s="42" t="s">
        <v>75</v>
      </c>
      <c r="M30" s="42"/>
      <c r="N30" s="42"/>
      <c r="O30" s="42" t="s">
        <v>78</v>
      </c>
      <c r="P30" s="43" t="s">
        <v>76</v>
      </c>
      <c r="Q30" s="43" t="s">
        <v>151</v>
      </c>
      <c r="R30" s="43" t="s">
        <v>203</v>
      </c>
      <c r="S30" s="43" t="s">
        <v>112</v>
      </c>
      <c r="U30" s="43" t="s">
        <v>105</v>
      </c>
      <c r="W30" s="43" t="s">
        <v>106</v>
      </c>
      <c r="Y30" s="93"/>
      <c r="AA30" s="92" t="s">
        <v>124</v>
      </c>
      <c r="AB30" s="82"/>
      <c r="AC30" s="82"/>
      <c r="AD30" s="82"/>
      <c r="AE30" s="82"/>
      <c r="AF30" s="83"/>
    </row>
    <row r="31" spans="1:32" s="23" customFormat="1" ht="9" customHeight="1" x14ac:dyDescent="0.2">
      <c r="H31" s="48"/>
      <c r="I31" s="48"/>
      <c r="J31" s="48"/>
      <c r="K31" s="48"/>
      <c r="L31" s="48"/>
      <c r="M31" s="48"/>
      <c r="N31" s="48"/>
      <c r="O31" s="48"/>
      <c r="P31" s="48"/>
      <c r="Q31" s="48"/>
      <c r="R31" s="48"/>
      <c r="U31" s="48"/>
      <c r="Y31" s="93"/>
      <c r="AA31" s="84"/>
      <c r="AB31" s="85"/>
      <c r="AC31" s="85"/>
      <c r="AD31" s="85"/>
      <c r="AE31" s="85"/>
      <c r="AF31" s="86"/>
    </row>
    <row r="32" spans="1:32" x14ac:dyDescent="0.2">
      <c r="A32" s="44"/>
      <c r="B32" s="44"/>
      <c r="C32" s="233"/>
      <c r="D32" s="233"/>
      <c r="E32" s="233"/>
      <c r="F32" s="233"/>
      <c r="G32" s="233"/>
      <c r="H32" s="46"/>
      <c r="I32" s="46"/>
      <c r="J32" s="41" t="str">
        <f>IF(H32="","",DATEDIF(H32,I32,"m")+1)</f>
        <v/>
      </c>
      <c r="K32" s="51"/>
      <c r="L32" s="47" t="str">
        <f t="shared" ref="L32:L38" si="0">IF(H32="","",$J$14)</f>
        <v/>
      </c>
      <c r="M32" s="47"/>
      <c r="O32" s="47" t="str">
        <f>IF(ISERROR(J32*K32*L32),"",IF(AND(M32="",N32=""),J32*ROUND(ROUND(K32,4)*L32,2),IF(N32="",J32*ROUND(ROUND(K32,4)*M32,2),J32*N32)))</f>
        <v/>
      </c>
      <c r="P32" s="74" t="str">
        <f>IF(ISERROR(J32*K32),"",(J32*K32)/12)</f>
        <v/>
      </c>
      <c r="Q32" s="74" t="str">
        <f>IFERROR(P32*0.75,"")</f>
        <v/>
      </c>
      <c r="R32" s="194" t="str">
        <f>IF(ISBLANK(H32),"","NCB")</f>
        <v/>
      </c>
      <c r="U32" s="47" t="str">
        <f t="shared" ref="U32:U38" si="1">IF(O32="","",ROUND(O32*$V$22,2))</f>
        <v/>
      </c>
      <c r="W32" s="47" t="str">
        <f>IF(O32="","",O32+U32)</f>
        <v/>
      </c>
      <c r="Y32" s="93"/>
      <c r="AA32" s="91" t="s">
        <v>146</v>
      </c>
      <c r="AB32" s="85"/>
      <c r="AC32" s="85"/>
      <c r="AD32" s="85"/>
      <c r="AE32" s="85"/>
      <c r="AF32" s="86"/>
    </row>
    <row r="33" spans="1:32" x14ac:dyDescent="0.2">
      <c r="A33" s="44"/>
      <c r="B33" s="44"/>
      <c r="C33" s="233"/>
      <c r="D33" s="233"/>
      <c r="E33" s="233"/>
      <c r="F33" s="233"/>
      <c r="G33" s="233"/>
      <c r="H33" s="46"/>
      <c r="I33" s="46"/>
      <c r="J33" s="41" t="str">
        <f>IF(H33="","",DATEDIF(H33,I33,"m")+1)</f>
        <v/>
      </c>
      <c r="K33" s="51"/>
      <c r="L33" s="47" t="str">
        <f t="shared" si="0"/>
        <v/>
      </c>
      <c r="M33" s="47"/>
      <c r="O33" s="47" t="str">
        <f t="shared" ref="O33:O38" si="2">IF(ISERROR(J33*K33*L33),"",IF(AND(M33="",N33=""),J33*ROUND(ROUND(K33,4)*L33,2),IF(N33="",J33*ROUND(ROUND(K33,4)*M33,2),J33*N33)))</f>
        <v/>
      </c>
      <c r="P33" s="74" t="str">
        <f t="shared" ref="P33:P38" si="3">IF(ISERROR(J33*K33),"",(J33*K33)/12)</f>
        <v/>
      </c>
      <c r="Q33" s="74" t="str">
        <f t="shared" ref="Q33:Q38" si="4">IFERROR(P33*0.75,"")</f>
        <v/>
      </c>
      <c r="R33" s="194" t="str">
        <f t="shared" ref="R33:R38" si="5">IF(ISBLANK(H33),"","NCB")</f>
        <v/>
      </c>
      <c r="U33" s="47" t="str">
        <f t="shared" si="1"/>
        <v/>
      </c>
      <c r="W33" s="47" t="str">
        <f t="shared" ref="W33:W38" si="6">IF(O33="","",O33+U33)</f>
        <v/>
      </c>
      <c r="Y33" s="93"/>
      <c r="AA33" s="84"/>
      <c r="AB33" s="85"/>
      <c r="AC33" s="85"/>
      <c r="AD33" s="85"/>
      <c r="AE33" s="85"/>
      <c r="AF33" s="86"/>
    </row>
    <row r="34" spans="1:32" x14ac:dyDescent="0.2">
      <c r="A34" s="44"/>
      <c r="B34" s="44"/>
      <c r="C34" s="233"/>
      <c r="D34" s="233"/>
      <c r="E34" s="233"/>
      <c r="F34" s="233"/>
      <c r="G34" s="233"/>
      <c r="H34" s="46"/>
      <c r="I34" s="46"/>
      <c r="J34" s="41" t="str">
        <f t="shared" ref="J34" si="7">IF(H34="","",DATEDIF(H34,I34,"m")+1)</f>
        <v/>
      </c>
      <c r="K34" s="51"/>
      <c r="L34" s="47" t="str">
        <f t="shared" si="0"/>
        <v/>
      </c>
      <c r="O34" s="47" t="str">
        <f t="shared" si="2"/>
        <v/>
      </c>
      <c r="P34" s="74" t="str">
        <f t="shared" si="3"/>
        <v/>
      </c>
      <c r="Q34" s="74" t="str">
        <f t="shared" si="4"/>
        <v/>
      </c>
      <c r="R34" s="194" t="str">
        <f t="shared" si="5"/>
        <v/>
      </c>
      <c r="U34" s="47" t="str">
        <f t="shared" si="1"/>
        <v/>
      </c>
      <c r="W34" s="47" t="str">
        <f t="shared" si="6"/>
        <v/>
      </c>
      <c r="Y34" s="93"/>
      <c r="AA34" s="84" t="s">
        <v>120</v>
      </c>
      <c r="AB34" s="85"/>
      <c r="AC34" s="85"/>
      <c r="AD34" s="85"/>
      <c r="AE34" s="87">
        <v>50000</v>
      </c>
      <c r="AF34" s="86"/>
    </row>
    <row r="35" spans="1:32" x14ac:dyDescent="0.2">
      <c r="A35" s="44"/>
      <c r="B35" s="44"/>
      <c r="C35" s="233"/>
      <c r="D35" s="233"/>
      <c r="E35" s="233"/>
      <c r="F35" s="233"/>
      <c r="G35" s="233"/>
      <c r="H35" s="46"/>
      <c r="I35" s="46"/>
      <c r="J35" s="41" t="str">
        <f t="shared" ref="J35" si="8">IF(H35="","",DATEDIF(H35,I35,"m")+1)</f>
        <v/>
      </c>
      <c r="K35" s="51"/>
      <c r="L35" s="47" t="str">
        <f t="shared" si="0"/>
        <v/>
      </c>
      <c r="O35" s="47" t="str">
        <f t="shared" si="2"/>
        <v/>
      </c>
      <c r="P35" s="74" t="str">
        <f t="shared" si="3"/>
        <v/>
      </c>
      <c r="Q35" s="74" t="str">
        <f t="shared" si="4"/>
        <v/>
      </c>
      <c r="R35" s="194" t="str">
        <f t="shared" si="5"/>
        <v/>
      </c>
      <c r="U35" s="47" t="str">
        <f t="shared" si="1"/>
        <v/>
      </c>
      <c r="W35" s="47" t="str">
        <f t="shared" si="6"/>
        <v/>
      </c>
      <c r="Y35" s="93"/>
      <c r="AA35" s="84" t="s">
        <v>121</v>
      </c>
      <c r="AB35" s="85"/>
      <c r="AC35" s="85"/>
      <c r="AD35" s="85"/>
      <c r="AE35" s="85">
        <v>12</v>
      </c>
      <c r="AF35" s="86"/>
    </row>
    <row r="36" spans="1:32" x14ac:dyDescent="0.2">
      <c r="A36" s="44"/>
      <c r="B36" s="44"/>
      <c r="C36" s="233"/>
      <c r="D36" s="233"/>
      <c r="E36" s="233"/>
      <c r="F36" s="233"/>
      <c r="G36" s="233"/>
      <c r="H36" s="46"/>
      <c r="I36" s="46"/>
      <c r="J36" s="41" t="str">
        <f t="shared" ref="J36" si="9">IF(H36="","",DATEDIF(H36,I36,"m")+1)</f>
        <v/>
      </c>
      <c r="K36" s="51"/>
      <c r="L36" s="47" t="str">
        <f t="shared" si="0"/>
        <v/>
      </c>
      <c r="O36" s="47" t="str">
        <f t="shared" si="2"/>
        <v/>
      </c>
      <c r="P36" s="74" t="str">
        <f t="shared" si="3"/>
        <v/>
      </c>
      <c r="Q36" s="74" t="str">
        <f t="shared" si="4"/>
        <v/>
      </c>
      <c r="R36" s="194" t="str">
        <f t="shared" si="5"/>
        <v/>
      </c>
      <c r="U36" s="47" t="str">
        <f t="shared" si="1"/>
        <v/>
      </c>
      <c r="W36" s="47" t="str">
        <f t="shared" si="6"/>
        <v/>
      </c>
      <c r="Y36" s="93"/>
      <c r="AA36" s="84" t="s">
        <v>122</v>
      </c>
      <c r="AB36" s="85"/>
      <c r="AC36" s="85"/>
      <c r="AD36" s="85"/>
      <c r="AE36" s="87">
        <v>9000</v>
      </c>
      <c r="AF36" s="86"/>
    </row>
    <row r="37" spans="1:32" x14ac:dyDescent="0.2">
      <c r="A37" s="44"/>
      <c r="B37" s="44"/>
      <c r="C37" s="233"/>
      <c r="D37" s="233"/>
      <c r="E37" s="233"/>
      <c r="F37" s="233"/>
      <c r="G37" s="233"/>
      <c r="H37" s="46"/>
      <c r="I37" s="46"/>
      <c r="J37" s="41" t="str">
        <f t="shared" ref="J37" si="10">IF(H37="","",DATEDIF(H37,I37,"m")+1)</f>
        <v/>
      </c>
      <c r="K37" s="51"/>
      <c r="L37" s="47" t="str">
        <f t="shared" si="0"/>
        <v/>
      </c>
      <c r="O37" s="47" t="str">
        <f t="shared" si="2"/>
        <v/>
      </c>
      <c r="P37" s="74" t="str">
        <f t="shared" si="3"/>
        <v/>
      </c>
      <c r="Q37" s="74" t="str">
        <f t="shared" si="4"/>
        <v/>
      </c>
      <c r="R37" s="194" t="str">
        <f t="shared" si="5"/>
        <v/>
      </c>
      <c r="U37" s="47" t="str">
        <f t="shared" si="1"/>
        <v/>
      </c>
      <c r="W37" s="47" t="str">
        <f t="shared" si="6"/>
        <v/>
      </c>
      <c r="Y37" s="93"/>
      <c r="AA37" s="84" t="s">
        <v>123</v>
      </c>
      <c r="AB37" s="85"/>
      <c r="AC37" s="85"/>
      <c r="AD37" s="85"/>
      <c r="AE37" s="85">
        <f>ROUND(AE34/AE35/AE36,4)</f>
        <v>0.46300000000000002</v>
      </c>
      <c r="AF37" s="86"/>
    </row>
    <row r="38" spans="1:32" x14ac:dyDescent="0.2">
      <c r="A38" s="44"/>
      <c r="B38" s="44"/>
      <c r="C38" s="233"/>
      <c r="D38" s="233"/>
      <c r="E38" s="233"/>
      <c r="F38" s="233"/>
      <c r="G38" s="233"/>
      <c r="H38" s="46"/>
      <c r="I38" s="46"/>
      <c r="J38" s="41" t="str">
        <f t="shared" ref="J38" si="11">IF(H38="","",DATEDIF(H38,I38,"m")+1)</f>
        <v/>
      </c>
      <c r="K38" s="51"/>
      <c r="L38" s="47" t="str">
        <f t="shared" si="0"/>
        <v/>
      </c>
      <c r="O38" s="47" t="str">
        <f t="shared" si="2"/>
        <v/>
      </c>
      <c r="P38" s="74" t="str">
        <f t="shared" si="3"/>
        <v/>
      </c>
      <c r="Q38" s="74" t="str">
        <f t="shared" si="4"/>
        <v/>
      </c>
      <c r="R38" s="194" t="str">
        <f t="shared" si="5"/>
        <v/>
      </c>
      <c r="U38" s="47" t="str">
        <f t="shared" si="1"/>
        <v/>
      </c>
      <c r="W38" s="47" t="str">
        <f t="shared" si="6"/>
        <v/>
      </c>
      <c r="Y38" s="93"/>
      <c r="AA38" s="84"/>
      <c r="AB38" s="85"/>
      <c r="AC38" s="85"/>
      <c r="AD38" s="85"/>
      <c r="AE38" s="85"/>
      <c r="AF38" s="86"/>
    </row>
    <row r="39" spans="1:32" x14ac:dyDescent="0.2">
      <c r="A39" s="29"/>
      <c r="B39" s="29"/>
      <c r="C39" s="29"/>
      <c r="D39" s="29"/>
      <c r="E39" s="29"/>
      <c r="F39" s="29"/>
      <c r="G39" s="29"/>
      <c r="H39" s="29"/>
      <c r="I39" s="29"/>
      <c r="J39" s="29"/>
      <c r="K39" s="52"/>
      <c r="L39" s="49"/>
      <c r="M39" s="29"/>
      <c r="N39" s="29"/>
      <c r="O39" s="49">
        <f>SUM(O32:O38)</f>
        <v>0</v>
      </c>
      <c r="P39" s="52">
        <f>SUM(P32:P38)</f>
        <v>0</v>
      </c>
      <c r="Q39" s="52">
        <f>SUM(Q32:Q38)</f>
        <v>0</v>
      </c>
      <c r="R39" s="52"/>
      <c r="S39" s="29"/>
      <c r="U39" s="49">
        <f>SUM(U32:U38)</f>
        <v>0</v>
      </c>
      <c r="W39" s="49">
        <f>SUM(W32:W38)</f>
        <v>0</v>
      </c>
      <c r="Y39" s="93"/>
      <c r="AA39" s="84" t="s">
        <v>119</v>
      </c>
      <c r="AB39" s="85"/>
      <c r="AC39" s="85"/>
      <c r="AD39" s="85"/>
      <c r="AE39" s="87">
        <f>ROUND(AE37*AE36,2)*AE35</f>
        <v>50004</v>
      </c>
      <c r="AF39" s="86"/>
    </row>
    <row r="40" spans="1:32" s="23" customFormat="1" x14ac:dyDescent="0.2">
      <c r="K40" s="59"/>
      <c r="L40" s="60"/>
      <c r="N40" s="40" t="s">
        <v>100</v>
      </c>
      <c r="O40" s="61">
        <f>0.5*H12*L12</f>
        <v>0</v>
      </c>
      <c r="P40" s="61"/>
      <c r="Q40" s="61"/>
      <c r="R40" s="61"/>
      <c r="Y40" s="93"/>
      <c r="AA40" s="88"/>
      <c r="AB40" s="89"/>
      <c r="AC40" s="89"/>
      <c r="AD40" s="89"/>
      <c r="AE40" s="89"/>
      <c r="AF40" s="90"/>
    </row>
    <row r="41" spans="1:32" x14ac:dyDescent="0.2">
      <c r="N41" s="40" t="s">
        <v>260</v>
      </c>
      <c r="O41" s="50">
        <f>H12*L12-G17</f>
        <v>0</v>
      </c>
      <c r="P41" s="50"/>
      <c r="Q41" s="50"/>
      <c r="R41" s="50"/>
      <c r="Y41" s="93"/>
    </row>
    <row r="42" spans="1:32" x14ac:dyDescent="0.2">
      <c r="N42" s="40"/>
      <c r="O42" s="50"/>
      <c r="P42" s="50"/>
      <c r="Q42" s="50"/>
      <c r="R42" s="50"/>
      <c r="Y42" s="93"/>
    </row>
    <row r="43" spans="1:32" x14ac:dyDescent="0.2">
      <c r="N43" s="40"/>
      <c r="O43" s="50"/>
      <c r="P43" s="50"/>
      <c r="Q43" s="50"/>
      <c r="R43" s="50"/>
      <c r="Y43" s="93"/>
    </row>
    <row r="44" spans="1:32" ht="15" customHeight="1" x14ac:dyDescent="0.2">
      <c r="A44" s="16" t="s">
        <v>93</v>
      </c>
      <c r="S44" s="184"/>
      <c r="U44" s="23"/>
      <c r="Y44" s="93"/>
    </row>
    <row r="45" spans="1:32" ht="30" customHeight="1" x14ac:dyDescent="0.2">
      <c r="A45" s="244" t="s">
        <v>155</v>
      </c>
      <c r="B45" s="244"/>
      <c r="C45" s="244"/>
      <c r="D45" s="244"/>
      <c r="E45" s="244"/>
      <c r="F45" s="244"/>
      <c r="G45" s="244"/>
      <c r="H45" s="244"/>
      <c r="I45" s="244"/>
      <c r="J45" s="244"/>
      <c r="K45" s="244"/>
      <c r="L45" s="244"/>
      <c r="M45" s="244"/>
      <c r="N45" s="244"/>
      <c r="O45" s="244"/>
      <c r="S45" s="184"/>
      <c r="Y45" s="93"/>
    </row>
    <row r="46" spans="1:32" ht="8" customHeight="1" x14ac:dyDescent="0.2">
      <c r="A46" s="163"/>
      <c r="B46" s="163"/>
      <c r="C46" s="163"/>
      <c r="D46" s="163"/>
      <c r="E46" s="163"/>
      <c r="F46" s="163"/>
      <c r="G46" s="163"/>
      <c r="H46" s="163"/>
      <c r="I46" s="163"/>
      <c r="J46" s="163"/>
      <c r="K46" s="163"/>
      <c r="L46" s="163"/>
      <c r="M46" s="163"/>
      <c r="N46" s="163"/>
      <c r="O46" s="163"/>
      <c r="S46" s="184"/>
      <c r="Y46" s="93"/>
    </row>
    <row r="47" spans="1:32" ht="30" customHeight="1" x14ac:dyDescent="0.2">
      <c r="A47" s="187" t="s">
        <v>196</v>
      </c>
      <c r="B47" s="234" t="s">
        <v>261</v>
      </c>
      <c r="C47" s="234"/>
      <c r="D47" s="234"/>
      <c r="E47" s="234"/>
      <c r="F47" s="234"/>
      <c r="G47" s="234"/>
      <c r="H47" s="234"/>
      <c r="I47" s="234"/>
      <c r="J47" s="234"/>
      <c r="K47" s="234"/>
      <c r="L47" s="234"/>
      <c r="M47" s="234"/>
      <c r="N47" s="234"/>
      <c r="O47" s="234"/>
      <c r="S47" s="184"/>
      <c r="Y47" s="93"/>
    </row>
    <row r="48" spans="1:32" ht="8" customHeight="1" x14ac:dyDescent="0.2">
      <c r="A48" s="163"/>
      <c r="B48" s="163"/>
      <c r="C48" s="163"/>
      <c r="D48" s="163"/>
      <c r="E48" s="163"/>
      <c r="F48" s="163"/>
      <c r="G48" s="163"/>
      <c r="H48" s="163"/>
      <c r="I48" s="163"/>
      <c r="J48" s="163"/>
      <c r="K48" s="163"/>
      <c r="L48" s="163"/>
      <c r="M48" s="163"/>
      <c r="N48" s="163"/>
      <c r="O48" s="163"/>
      <c r="S48" s="184"/>
      <c r="Y48" s="93"/>
    </row>
    <row r="49" spans="1:32" x14ac:dyDescent="0.2">
      <c r="A49" s="29" t="s">
        <v>70</v>
      </c>
      <c r="B49" s="29" t="s">
        <v>71</v>
      </c>
      <c r="C49" s="29" t="s">
        <v>72</v>
      </c>
      <c r="D49" s="29"/>
      <c r="E49" s="29"/>
      <c r="F49" s="29" t="s">
        <v>80</v>
      </c>
      <c r="G49" s="29"/>
      <c r="H49" s="43" t="s">
        <v>73</v>
      </c>
      <c r="I49" s="43" t="s">
        <v>74</v>
      </c>
      <c r="J49" s="43" t="s">
        <v>95</v>
      </c>
      <c r="K49" s="43" t="s">
        <v>76</v>
      </c>
      <c r="L49" s="43" t="s">
        <v>75</v>
      </c>
      <c r="M49" s="43" t="s">
        <v>77</v>
      </c>
      <c r="N49" s="43" t="s">
        <v>96</v>
      </c>
      <c r="O49" s="43" t="s">
        <v>78</v>
      </c>
      <c r="P49" s="43" t="s">
        <v>76</v>
      </c>
      <c r="Q49" s="43" t="s">
        <v>151</v>
      </c>
      <c r="R49" s="43" t="s">
        <v>203</v>
      </c>
      <c r="S49" s="43" t="s">
        <v>112</v>
      </c>
      <c r="U49" s="43" t="s">
        <v>105</v>
      </c>
      <c r="W49" s="43" t="s">
        <v>106</v>
      </c>
      <c r="Y49" s="93"/>
      <c r="AA49" s="94" t="s">
        <v>129</v>
      </c>
      <c r="AB49" s="95"/>
      <c r="AC49" s="95"/>
      <c r="AD49" s="95"/>
      <c r="AE49" s="95"/>
      <c r="AF49" s="96"/>
    </row>
    <row r="50" spans="1:32" s="23" customFormat="1" ht="9" customHeight="1" x14ac:dyDescent="0.2">
      <c r="H50" s="48"/>
      <c r="I50" s="48"/>
      <c r="J50" s="48"/>
      <c r="K50" s="48"/>
      <c r="L50" s="48"/>
      <c r="M50" s="48"/>
      <c r="N50" s="48"/>
      <c r="O50" s="48"/>
      <c r="P50" s="48"/>
      <c r="Q50" s="48"/>
      <c r="R50" s="48"/>
      <c r="U50" s="48"/>
      <c r="Y50" s="93"/>
      <c r="AA50" s="97"/>
      <c r="AB50" s="98"/>
      <c r="AC50" s="98"/>
      <c r="AD50" s="98"/>
      <c r="AE50" s="98"/>
      <c r="AF50" s="99"/>
    </row>
    <row r="51" spans="1:32" x14ac:dyDescent="0.2">
      <c r="A51" s="45"/>
      <c r="B51" s="45"/>
      <c r="C51" s="233"/>
      <c r="D51" s="233"/>
      <c r="E51" s="233"/>
      <c r="F51" s="233"/>
      <c r="G51" s="233"/>
      <c r="H51" s="46"/>
      <c r="I51" s="46"/>
      <c r="J51" s="41" t="str">
        <f>IF(H51="","",DATEDIF(H51,I51,"m")+1)</f>
        <v/>
      </c>
      <c r="K51" s="51"/>
      <c r="L51" s="47" t="str">
        <f t="shared" ref="L51:L57" si="12">IF(H51="","",$J$14)</f>
        <v/>
      </c>
      <c r="M51" s="70"/>
      <c r="N51" s="70"/>
      <c r="O51" s="47" t="str">
        <f>IF(ISERROR(J51*K51*L51),"",IF(AND(M51="",N51=""),J51*ROUND(ROUND(K51,4)*L51,2),IF(N51="",J51*ROUND(ROUND(K51,4)*M51,2),J51*N51)))</f>
        <v/>
      </c>
      <c r="P51" s="74" t="str">
        <f t="shared" ref="P51:P57" si="13">IF(ISERROR(J51*K51),"",(J51*K51)/12)</f>
        <v/>
      </c>
      <c r="Q51" s="74" t="str">
        <f t="shared" ref="Q51:Q57" si="14">IFERROR(P51*0.75,"")</f>
        <v/>
      </c>
      <c r="R51" s="194" t="str">
        <f>IF(ISBLANK(H51),"",IF(M51&gt;0,"NCC",IF(N51&gt;0,"NCG","NCB")))</f>
        <v/>
      </c>
      <c r="U51" s="47" t="str">
        <f t="shared" ref="U51:U57" si="15">IF(O51="","",ROUND(O51*$V$22,2))</f>
        <v/>
      </c>
      <c r="W51" s="47" t="str">
        <f>IF(O51="","",O51+U51)</f>
        <v/>
      </c>
      <c r="Y51" s="93"/>
      <c r="AA51" s="114" t="s">
        <v>125</v>
      </c>
      <c r="AB51" s="98"/>
      <c r="AC51" s="98"/>
      <c r="AD51" s="98"/>
      <c r="AE51" s="98"/>
      <c r="AF51" s="99"/>
    </row>
    <row r="52" spans="1:32" x14ac:dyDescent="0.2">
      <c r="A52" s="45"/>
      <c r="B52" s="45"/>
      <c r="C52" s="233"/>
      <c r="D52" s="233"/>
      <c r="E52" s="233"/>
      <c r="F52" s="233"/>
      <c r="G52" s="233"/>
      <c r="H52" s="46"/>
      <c r="I52" s="46"/>
      <c r="J52" s="41" t="str">
        <f>IF(H52="","",DATEDIF(H52,I52,"m")+1)</f>
        <v/>
      </c>
      <c r="K52" s="51"/>
      <c r="L52" s="47" t="str">
        <f t="shared" si="12"/>
        <v/>
      </c>
      <c r="M52" s="70"/>
      <c r="N52" s="70"/>
      <c r="O52" s="47" t="str">
        <f t="shared" ref="O52:O57" si="16">IF(ISERROR(J52*K52*L52),"",IF(AND(M52="",N52=""),J52*ROUND(ROUND(K52,4)*L52,2),IF(N52="",J52*ROUND(ROUND(K52,4)*M52,2),J52*N52)))</f>
        <v/>
      </c>
      <c r="P52" s="74" t="str">
        <f t="shared" si="13"/>
        <v/>
      </c>
      <c r="Q52" s="74" t="str">
        <f t="shared" si="14"/>
        <v/>
      </c>
      <c r="R52" s="194" t="str">
        <f t="shared" ref="R52:R57" si="17">IF(ISBLANK(H52),"",IF(M52&gt;0,"NCC",IF(N52&gt;0,"NCG","NCB")))</f>
        <v/>
      </c>
      <c r="U52" s="47" t="str">
        <f t="shared" si="15"/>
        <v/>
      </c>
      <c r="W52" s="47" t="str">
        <f t="shared" ref="W52:W57" si="18">IF(O52="","",O52+U52)</f>
        <v/>
      </c>
      <c r="Y52" s="93"/>
      <c r="AA52" s="97"/>
      <c r="AB52" s="98"/>
      <c r="AC52" s="98"/>
      <c r="AD52" s="98"/>
      <c r="AE52" s="98"/>
      <c r="AF52" s="99"/>
    </row>
    <row r="53" spans="1:32" x14ac:dyDescent="0.2">
      <c r="A53" s="45"/>
      <c r="B53" s="45"/>
      <c r="C53" s="233"/>
      <c r="D53" s="233"/>
      <c r="E53" s="233"/>
      <c r="F53" s="233"/>
      <c r="G53" s="233"/>
      <c r="H53" s="46"/>
      <c r="I53" s="46"/>
      <c r="J53" s="41" t="str">
        <f t="shared" ref="J53:J57" si="19">IF(H53="","",DATEDIF(H53,I53,"m")+1)</f>
        <v/>
      </c>
      <c r="K53" s="51"/>
      <c r="L53" s="47" t="str">
        <f t="shared" si="12"/>
        <v/>
      </c>
      <c r="M53" s="70"/>
      <c r="N53" s="70"/>
      <c r="O53" s="47" t="str">
        <f t="shared" si="16"/>
        <v/>
      </c>
      <c r="P53" s="74" t="str">
        <f t="shared" si="13"/>
        <v/>
      </c>
      <c r="Q53" s="74" t="str">
        <f t="shared" si="14"/>
        <v/>
      </c>
      <c r="R53" s="194" t="str">
        <f t="shared" si="17"/>
        <v/>
      </c>
      <c r="U53" s="47" t="str">
        <f t="shared" si="15"/>
        <v/>
      </c>
      <c r="W53" s="47" t="str">
        <f t="shared" si="18"/>
        <v/>
      </c>
      <c r="Y53" s="93"/>
      <c r="AA53" s="97" t="s">
        <v>126</v>
      </c>
      <c r="AB53" s="98"/>
      <c r="AC53" s="98"/>
      <c r="AD53" s="98"/>
      <c r="AE53" s="98"/>
      <c r="AF53" s="100">
        <v>185100</v>
      </c>
    </row>
    <row r="54" spans="1:32" x14ac:dyDescent="0.2">
      <c r="A54" s="45"/>
      <c r="B54" s="45"/>
      <c r="C54" s="233"/>
      <c r="D54" s="233"/>
      <c r="E54" s="233"/>
      <c r="F54" s="233"/>
      <c r="G54" s="233"/>
      <c r="H54" s="46"/>
      <c r="I54" s="46"/>
      <c r="J54" s="41" t="str">
        <f t="shared" si="19"/>
        <v/>
      </c>
      <c r="K54" s="51"/>
      <c r="L54" s="47" t="str">
        <f t="shared" si="12"/>
        <v/>
      </c>
      <c r="M54" s="70"/>
      <c r="N54" s="70"/>
      <c r="O54" s="47" t="str">
        <f t="shared" si="16"/>
        <v/>
      </c>
      <c r="P54" s="74" t="str">
        <f t="shared" si="13"/>
        <v/>
      </c>
      <c r="Q54" s="74" t="str">
        <f t="shared" si="14"/>
        <v/>
      </c>
      <c r="R54" s="194" t="str">
        <f t="shared" si="17"/>
        <v/>
      </c>
      <c r="U54" s="47" t="str">
        <f t="shared" si="15"/>
        <v/>
      </c>
      <c r="W54" s="47" t="str">
        <f t="shared" si="18"/>
        <v/>
      </c>
      <c r="Y54" s="93"/>
      <c r="AA54" s="97"/>
      <c r="AB54" s="98"/>
      <c r="AC54" s="98"/>
      <c r="AD54" s="98"/>
      <c r="AE54" s="98"/>
      <c r="AF54" s="99"/>
    </row>
    <row r="55" spans="1:32" x14ac:dyDescent="0.2">
      <c r="A55" s="45"/>
      <c r="B55" s="45"/>
      <c r="C55" s="233"/>
      <c r="D55" s="233"/>
      <c r="E55" s="233"/>
      <c r="F55" s="233"/>
      <c r="G55" s="233"/>
      <c r="H55" s="46"/>
      <c r="I55" s="46"/>
      <c r="J55" s="41" t="str">
        <f t="shared" si="19"/>
        <v/>
      </c>
      <c r="K55" s="51"/>
      <c r="L55" s="47" t="str">
        <f t="shared" si="12"/>
        <v/>
      </c>
      <c r="M55" s="70"/>
      <c r="N55" s="70"/>
      <c r="O55" s="47" t="str">
        <f t="shared" si="16"/>
        <v/>
      </c>
      <c r="P55" s="74" t="str">
        <f t="shared" si="13"/>
        <v/>
      </c>
      <c r="Q55" s="74" t="str">
        <f t="shared" si="14"/>
        <v/>
      </c>
      <c r="R55" s="194" t="str">
        <f t="shared" si="17"/>
        <v/>
      </c>
      <c r="U55" s="47" t="str">
        <f t="shared" si="15"/>
        <v/>
      </c>
      <c r="W55" s="47" t="str">
        <f t="shared" si="18"/>
        <v/>
      </c>
      <c r="Y55" s="93"/>
      <c r="AA55" s="97" t="s">
        <v>127</v>
      </c>
      <c r="AB55" s="98"/>
      <c r="AC55" s="98"/>
      <c r="AD55" s="98"/>
      <c r="AE55" s="98"/>
      <c r="AF55" s="101">
        <f>AF53/12*3/4</f>
        <v>11568.75</v>
      </c>
    </row>
    <row r="56" spans="1:32" x14ac:dyDescent="0.2">
      <c r="A56" s="45"/>
      <c r="B56" s="45"/>
      <c r="C56" s="233"/>
      <c r="D56" s="233"/>
      <c r="E56" s="233"/>
      <c r="F56" s="233"/>
      <c r="G56" s="233"/>
      <c r="H56" s="46"/>
      <c r="I56" s="46"/>
      <c r="J56" s="41" t="str">
        <f t="shared" si="19"/>
        <v/>
      </c>
      <c r="K56" s="51"/>
      <c r="L56" s="47" t="str">
        <f t="shared" si="12"/>
        <v/>
      </c>
      <c r="M56" s="70"/>
      <c r="N56" s="70"/>
      <c r="O56" s="47" t="str">
        <f t="shared" si="16"/>
        <v/>
      </c>
      <c r="P56" s="74" t="str">
        <f t="shared" si="13"/>
        <v/>
      </c>
      <c r="Q56" s="74" t="str">
        <f t="shared" si="14"/>
        <v/>
      </c>
      <c r="R56" s="194" t="str">
        <f t="shared" si="17"/>
        <v/>
      </c>
      <c r="U56" s="47" t="str">
        <f t="shared" si="15"/>
        <v/>
      </c>
      <c r="W56" s="47" t="str">
        <f t="shared" si="18"/>
        <v/>
      </c>
      <c r="Y56" s="93"/>
      <c r="AA56" s="97" t="s">
        <v>128</v>
      </c>
      <c r="AB56" s="98"/>
      <c r="AC56" s="98"/>
      <c r="AD56" s="98"/>
      <c r="AE56" s="98"/>
      <c r="AF56" s="101">
        <f>AF53/12</f>
        <v>15425</v>
      </c>
    </row>
    <row r="57" spans="1:32" x14ac:dyDescent="0.2">
      <c r="A57" s="45"/>
      <c r="B57" s="45"/>
      <c r="C57" s="233"/>
      <c r="D57" s="233"/>
      <c r="E57" s="233"/>
      <c r="F57" s="233"/>
      <c r="G57" s="233"/>
      <c r="H57" s="46"/>
      <c r="I57" s="46"/>
      <c r="J57" s="41" t="str">
        <f t="shared" si="19"/>
        <v/>
      </c>
      <c r="K57" s="51"/>
      <c r="L57" s="47" t="str">
        <f t="shared" si="12"/>
        <v/>
      </c>
      <c r="M57" s="70"/>
      <c r="N57" s="70"/>
      <c r="O57" s="47" t="str">
        <f t="shared" si="16"/>
        <v/>
      </c>
      <c r="P57" s="74" t="str">
        <f t="shared" si="13"/>
        <v/>
      </c>
      <c r="Q57" s="74" t="str">
        <f t="shared" si="14"/>
        <v/>
      </c>
      <c r="R57" s="194" t="str">
        <f t="shared" si="17"/>
        <v/>
      </c>
      <c r="U57" s="47" t="str">
        <f t="shared" si="15"/>
        <v/>
      </c>
      <c r="W57" s="47" t="str">
        <f t="shared" si="18"/>
        <v/>
      </c>
      <c r="Y57" s="93"/>
      <c r="AA57" s="102"/>
      <c r="AB57" s="103"/>
      <c r="AC57" s="103"/>
      <c r="AD57" s="103"/>
      <c r="AE57" s="103"/>
      <c r="AF57" s="104"/>
    </row>
    <row r="58" spans="1:32" x14ac:dyDescent="0.2">
      <c r="A58" s="29"/>
      <c r="B58" s="29"/>
      <c r="C58" s="29"/>
      <c r="D58" s="29"/>
      <c r="E58" s="29"/>
      <c r="F58" s="29"/>
      <c r="G58" s="29"/>
      <c r="H58" s="29"/>
      <c r="I58" s="29"/>
      <c r="J58" s="29"/>
      <c r="K58" s="52"/>
      <c r="L58" s="49"/>
      <c r="M58" s="29"/>
      <c r="N58" s="29"/>
      <c r="O58" s="49">
        <f>SUM(O51:O57)</f>
        <v>0</v>
      </c>
      <c r="P58" s="52">
        <f>SUM(P51:P57)</f>
        <v>0</v>
      </c>
      <c r="Q58" s="52">
        <f>SUM(Q51:Q57)</f>
        <v>0</v>
      </c>
      <c r="R58" s="52"/>
      <c r="S58" s="29"/>
      <c r="U58" s="49">
        <f>SUM(U51:U57)</f>
        <v>0</v>
      </c>
      <c r="W58" s="49">
        <f>SUM(W51:W57)</f>
        <v>0</v>
      </c>
      <c r="Y58" s="93"/>
    </row>
    <row r="59" spans="1:32" x14ac:dyDescent="0.2">
      <c r="N59" s="40" t="s">
        <v>139</v>
      </c>
      <c r="O59" s="50">
        <f>G17</f>
        <v>0</v>
      </c>
      <c r="P59" s="50"/>
      <c r="Q59" s="50"/>
      <c r="R59" s="50"/>
      <c r="Y59" s="93"/>
    </row>
    <row r="60" spans="1:32" x14ac:dyDescent="0.2">
      <c r="N60" s="40" t="s">
        <v>138</v>
      </c>
      <c r="O60" s="50">
        <f>H12*L12-O39</f>
        <v>0</v>
      </c>
      <c r="P60" s="50"/>
      <c r="Q60" s="50"/>
      <c r="R60" s="50"/>
      <c r="Y60" s="93"/>
      <c r="AA60" s="189"/>
      <c r="AB60" s="190" t="s">
        <v>200</v>
      </c>
      <c r="AC60" s="95"/>
      <c r="AD60" s="95"/>
      <c r="AE60" s="95"/>
      <c r="AF60" s="96"/>
    </row>
    <row r="61" spans="1:32" hidden="1" x14ac:dyDescent="0.2">
      <c r="N61" s="40" t="s">
        <v>140</v>
      </c>
      <c r="O61" s="50">
        <f>O58-O60</f>
        <v>0</v>
      </c>
      <c r="P61" s="50"/>
      <c r="Q61" s="50"/>
      <c r="R61" s="50"/>
      <c r="Y61" s="93"/>
      <c r="AA61" s="97"/>
      <c r="AB61" s="98"/>
      <c r="AC61" s="98"/>
      <c r="AD61" s="98"/>
      <c r="AE61" s="98"/>
      <c r="AF61" s="99"/>
    </row>
    <row r="62" spans="1:32" x14ac:dyDescent="0.2">
      <c r="N62" s="40"/>
      <c r="O62" s="50"/>
      <c r="P62" s="50"/>
      <c r="Q62" s="50"/>
      <c r="R62" s="50"/>
      <c r="Y62" s="93"/>
      <c r="AA62" s="97"/>
      <c r="AB62" s="98"/>
      <c r="AC62" s="98"/>
      <c r="AD62" s="98"/>
      <c r="AE62" s="98"/>
      <c r="AF62" s="99"/>
    </row>
    <row r="63" spans="1:32" x14ac:dyDescent="0.2">
      <c r="N63" s="40" t="s">
        <v>145</v>
      </c>
      <c r="O63" s="50">
        <f>O39+O58</f>
        <v>0</v>
      </c>
      <c r="P63" s="50"/>
      <c r="Q63" s="50"/>
      <c r="R63" s="50"/>
      <c r="Y63" s="93"/>
      <c r="AA63" s="97"/>
      <c r="AB63" s="191" t="s">
        <v>197</v>
      </c>
      <c r="AC63" s="191" t="s">
        <v>198</v>
      </c>
      <c r="AD63" s="191" t="s">
        <v>199</v>
      </c>
      <c r="AE63" s="98"/>
      <c r="AF63" s="99"/>
    </row>
    <row r="64" spans="1:32" x14ac:dyDescent="0.2">
      <c r="N64" s="40" t="s">
        <v>141</v>
      </c>
      <c r="O64" s="50">
        <f>O63-(H12*L12)</f>
        <v>0</v>
      </c>
      <c r="P64" s="50"/>
      <c r="Q64" s="50"/>
      <c r="R64" s="50"/>
      <c r="Y64" s="93"/>
      <c r="AA64" s="97"/>
      <c r="AB64" s="103"/>
      <c r="AC64" s="188" t="s">
        <v>201</v>
      </c>
      <c r="AD64" s="188" t="s">
        <v>202</v>
      </c>
      <c r="AE64" s="98"/>
      <c r="AF64" s="99"/>
    </row>
    <row r="65" spans="1:32" x14ac:dyDescent="0.2">
      <c r="N65" s="40"/>
      <c r="O65" s="50"/>
      <c r="P65" s="50"/>
      <c r="Q65" s="50"/>
      <c r="R65" s="50"/>
      <c r="Y65" s="93"/>
      <c r="AA65" s="97"/>
      <c r="AB65" s="192">
        <v>179700</v>
      </c>
      <c r="AC65" s="193">
        <f>ROUND(AB65/12*0.75,2)</f>
        <v>11231.25</v>
      </c>
      <c r="AD65" s="193">
        <f>ROUND(AB65/12,2)</f>
        <v>14975</v>
      </c>
      <c r="AE65" s="98"/>
      <c r="AF65" s="99"/>
    </row>
    <row r="66" spans="1:32" x14ac:dyDescent="0.2">
      <c r="N66" s="40" t="s">
        <v>258</v>
      </c>
      <c r="O66" s="185">
        <f>P39+P58</f>
        <v>0</v>
      </c>
      <c r="P66" s="50"/>
      <c r="Q66" s="50"/>
      <c r="R66" s="50"/>
      <c r="Y66" s="93"/>
      <c r="AA66" s="97"/>
      <c r="AB66" s="192">
        <v>181500</v>
      </c>
      <c r="AC66" s="193">
        <f>ROUND(AB66/12*0.75,2)</f>
        <v>11343.75</v>
      </c>
      <c r="AD66" s="193">
        <f>ROUND(AB66/12,2)</f>
        <v>15125</v>
      </c>
      <c r="AE66" s="98"/>
      <c r="AF66" s="99"/>
    </row>
    <row r="67" spans="1:32" x14ac:dyDescent="0.2">
      <c r="N67" s="40"/>
      <c r="O67" s="50"/>
      <c r="P67" s="50"/>
      <c r="Q67" s="50"/>
      <c r="R67" s="50"/>
      <c r="Y67" s="93"/>
      <c r="AA67" s="97"/>
      <c r="AB67" s="192">
        <v>183300</v>
      </c>
      <c r="AC67" s="193">
        <f>ROUND(AB67/12*0.75,2)</f>
        <v>11456.25</v>
      </c>
      <c r="AD67" s="193">
        <f>ROUND(AB67/12,2)</f>
        <v>15275</v>
      </c>
      <c r="AE67" s="98"/>
      <c r="AF67" s="99"/>
    </row>
    <row r="68" spans="1:32" x14ac:dyDescent="0.2">
      <c r="A68" s="125" t="s">
        <v>158</v>
      </c>
      <c r="N68" s="40"/>
      <c r="O68" s="50"/>
      <c r="P68" s="50"/>
      <c r="Q68" s="50"/>
      <c r="R68" s="50"/>
      <c r="Y68" s="93"/>
      <c r="AA68" s="102"/>
      <c r="AB68" s="220">
        <v>185100</v>
      </c>
      <c r="AC68" s="221">
        <f>ROUND(AB68/12*0.75,2)</f>
        <v>11568.75</v>
      </c>
      <c r="AD68" s="221">
        <f>ROUND(AB68/12,2)</f>
        <v>15425</v>
      </c>
      <c r="AE68" s="103"/>
      <c r="AF68" s="104"/>
    </row>
    <row r="69" spans="1:32" x14ac:dyDescent="0.2">
      <c r="N69" s="40"/>
      <c r="O69" s="50"/>
      <c r="P69" s="50"/>
      <c r="Q69" s="50"/>
      <c r="R69" s="50"/>
      <c r="Y69" s="93"/>
    </row>
    <row r="70" spans="1:32" x14ac:dyDescent="0.2">
      <c r="A70" s="16" t="s">
        <v>94</v>
      </c>
      <c r="U70" s="23"/>
      <c r="Y70" s="93"/>
    </row>
    <row r="71" spans="1:32" x14ac:dyDescent="0.2">
      <c r="A71" s="244" t="s">
        <v>267</v>
      </c>
      <c r="B71" s="244"/>
      <c r="C71" s="244"/>
      <c r="D71" s="244"/>
      <c r="E71" s="244"/>
      <c r="F71" s="244"/>
      <c r="G71" s="244"/>
      <c r="H71" s="244"/>
      <c r="I71" s="244"/>
      <c r="J71" s="244"/>
      <c r="K71" s="244"/>
      <c r="L71" s="244"/>
      <c r="M71" s="244"/>
      <c r="N71" s="244"/>
      <c r="O71" s="244"/>
      <c r="R71" t="s">
        <v>264</v>
      </c>
      <c r="Y71" s="93"/>
    </row>
    <row r="72" spans="1:32" ht="8" customHeight="1" x14ac:dyDescent="0.2">
      <c r="A72" s="163"/>
      <c r="B72" s="163"/>
      <c r="C72" s="163"/>
      <c r="D72" s="163"/>
      <c r="E72" s="163"/>
      <c r="F72" s="163"/>
      <c r="G72" s="163"/>
      <c r="H72" s="163"/>
      <c r="I72" s="163"/>
      <c r="J72" s="163"/>
      <c r="K72" s="163"/>
      <c r="L72" s="163"/>
      <c r="M72" s="163"/>
      <c r="N72" s="163"/>
      <c r="O72" s="163"/>
      <c r="S72" s="184"/>
      <c r="Y72" s="93"/>
    </row>
    <row r="73" spans="1:32" ht="30" customHeight="1" x14ac:dyDescent="0.2">
      <c r="A73" s="187" t="s">
        <v>196</v>
      </c>
      <c r="B73" s="234" t="s">
        <v>263</v>
      </c>
      <c r="C73" s="234"/>
      <c r="D73" s="234"/>
      <c r="E73" s="234"/>
      <c r="F73" s="234"/>
      <c r="G73" s="234"/>
      <c r="H73" s="234"/>
      <c r="I73" s="234"/>
      <c r="J73" s="234"/>
      <c r="K73" s="234"/>
      <c r="L73" s="234"/>
      <c r="M73" s="234"/>
      <c r="N73" s="234"/>
      <c r="O73" s="234"/>
      <c r="S73" s="184"/>
      <c r="Y73" s="93"/>
    </row>
    <row r="74" spans="1:32" ht="8" customHeight="1" x14ac:dyDescent="0.2">
      <c r="A74" s="163"/>
      <c r="B74" s="163"/>
      <c r="C74" s="163"/>
      <c r="D74" s="163"/>
      <c r="E74" s="163"/>
      <c r="F74" s="163"/>
      <c r="G74" s="163"/>
      <c r="H74" s="163"/>
      <c r="I74" s="163"/>
      <c r="J74" s="163"/>
      <c r="K74" s="163"/>
      <c r="L74" s="163"/>
      <c r="M74" s="163"/>
      <c r="N74" s="163"/>
      <c r="O74" s="163"/>
      <c r="S74" s="184"/>
      <c r="Y74" s="93"/>
    </row>
    <row r="75" spans="1:32" x14ac:dyDescent="0.2">
      <c r="A75" s="29" t="s">
        <v>70</v>
      </c>
      <c r="B75" s="29" t="s">
        <v>71</v>
      </c>
      <c r="C75" s="29" t="s">
        <v>72</v>
      </c>
      <c r="D75" s="29"/>
      <c r="E75" s="29"/>
      <c r="F75" s="29" t="s">
        <v>80</v>
      </c>
      <c r="G75" s="29"/>
      <c r="H75" s="43" t="s">
        <v>73</v>
      </c>
      <c r="I75" s="43" t="s">
        <v>74</v>
      </c>
      <c r="J75" s="43" t="s">
        <v>95</v>
      </c>
      <c r="K75" s="43" t="s">
        <v>76</v>
      </c>
      <c r="L75" s="43" t="s">
        <v>75</v>
      </c>
      <c r="M75" s="43" t="s">
        <v>77</v>
      </c>
      <c r="N75" s="43" t="s">
        <v>96</v>
      </c>
      <c r="O75" s="43" t="s">
        <v>78</v>
      </c>
      <c r="P75" s="43" t="s">
        <v>76</v>
      </c>
      <c r="Q75" s="43" t="s">
        <v>151</v>
      </c>
      <c r="R75" s="43" t="s">
        <v>203</v>
      </c>
      <c r="S75" s="43" t="s">
        <v>112</v>
      </c>
      <c r="U75" s="43" t="s">
        <v>105</v>
      </c>
      <c r="W75" s="43" t="s">
        <v>106</v>
      </c>
      <c r="Y75" s="93"/>
      <c r="AA75" s="105" t="s">
        <v>130</v>
      </c>
      <c r="AB75" s="106"/>
      <c r="AC75" s="106"/>
      <c r="AD75" s="106"/>
      <c r="AE75" s="106"/>
      <c r="AF75" s="107"/>
    </row>
    <row r="76" spans="1:32" s="23" customFormat="1" ht="9" customHeight="1" x14ac:dyDescent="0.2">
      <c r="H76" s="48"/>
      <c r="I76" s="48"/>
      <c r="J76" s="48"/>
      <c r="K76" s="48"/>
      <c r="L76" s="48"/>
      <c r="M76" s="48"/>
      <c r="N76" s="48"/>
      <c r="O76" s="48"/>
      <c r="P76" s="48"/>
      <c r="Q76" s="48"/>
      <c r="R76" s="48"/>
      <c r="U76" s="48"/>
      <c r="Y76" s="93"/>
      <c r="AA76" s="108"/>
      <c r="AB76" s="109"/>
      <c r="AC76" s="109"/>
      <c r="AD76" s="109"/>
      <c r="AE76" s="109"/>
      <c r="AF76" s="110"/>
    </row>
    <row r="77" spans="1:32" x14ac:dyDescent="0.2">
      <c r="A77" s="45"/>
      <c r="B77" s="45"/>
      <c r="C77" s="233"/>
      <c r="D77" s="233"/>
      <c r="E77" s="233"/>
      <c r="F77" s="233"/>
      <c r="G77" s="233"/>
      <c r="H77" s="46"/>
      <c r="I77" s="46"/>
      <c r="J77" s="41" t="str">
        <f>IF(H77="","",DATEDIF(H77,I77,"m")+1)</f>
        <v/>
      </c>
      <c r="K77" s="51"/>
      <c r="L77" s="47" t="str">
        <f t="shared" ref="L77:L90" si="20">IF(H77="","",$J$14)</f>
        <v/>
      </c>
      <c r="M77" s="70"/>
      <c r="N77" s="70"/>
      <c r="O77" s="47" t="str">
        <f>IF(ISERROR(J77*K77*L77),"",IF(AND(M77="",N77=""),J77*ROUND(ROUND(K77,4)*L77,2),IF(N77="",J77*ROUND(ROUND(K77,4)*M77,2),J77*N77)))</f>
        <v/>
      </c>
      <c r="P77" s="74" t="str">
        <f t="shared" ref="P77:P86" si="21">IF(ISERROR(J77*K77),"",(J77*K77)/12)</f>
        <v/>
      </c>
      <c r="Q77" s="74" t="str">
        <f t="shared" ref="Q77:Q86" si="22">IFERROR(P77*0.75,"")</f>
        <v/>
      </c>
      <c r="R77" s="194" t="str">
        <f>IF(ISBLANK(H77),"",IF(M77&gt;0,"NCU",IF(N77&gt;0,"NGU","NNC")))</f>
        <v/>
      </c>
      <c r="U77" s="47" t="str">
        <f t="shared" ref="U77:U90" si="23">IF(O77="","",ROUND(O77*$V$23,2))</f>
        <v/>
      </c>
      <c r="W77" s="47" t="str">
        <f>IF(O77="","",O77+U77)</f>
        <v/>
      </c>
      <c r="Y77" s="93"/>
      <c r="AA77" s="115" t="s">
        <v>131</v>
      </c>
      <c r="AB77" s="109"/>
      <c r="AC77" s="109"/>
      <c r="AD77" s="109"/>
      <c r="AE77" s="109"/>
      <c r="AF77" s="110"/>
    </row>
    <row r="78" spans="1:32" x14ac:dyDescent="0.2">
      <c r="A78" s="45"/>
      <c r="B78" s="45"/>
      <c r="C78" s="233"/>
      <c r="D78" s="233"/>
      <c r="E78" s="233"/>
      <c r="F78" s="233"/>
      <c r="G78" s="233"/>
      <c r="H78" s="46"/>
      <c r="I78" s="46"/>
      <c r="J78" s="41" t="str">
        <f>IF(H78="","",DATEDIF(H78,I78,"m")+1)</f>
        <v/>
      </c>
      <c r="K78" s="51"/>
      <c r="L78" s="47" t="str">
        <f t="shared" si="20"/>
        <v/>
      </c>
      <c r="M78" s="70"/>
      <c r="N78" s="70"/>
      <c r="O78" s="47" t="str">
        <f t="shared" ref="O78:O86" si="24">IF(ISERROR(J78*K78*L78),"",IF(AND(M78="",N78=""),J78*ROUND(ROUND(K78,4)*L78,2),IF(N78="",J78*ROUND(ROUND(K78,4)*M78,2),J78*N78)))</f>
        <v/>
      </c>
      <c r="P78" s="74" t="str">
        <f t="shared" si="21"/>
        <v/>
      </c>
      <c r="Q78" s="74" t="str">
        <f t="shared" si="22"/>
        <v/>
      </c>
      <c r="R78" s="194" t="str">
        <f t="shared" ref="R78:R90" si="25">IF(ISBLANK(H78),"",IF(M78&gt;0,"NCU",IF(N78&gt;0,"NGU","NNC")))</f>
        <v/>
      </c>
      <c r="U78" s="47" t="str">
        <f t="shared" si="23"/>
        <v/>
      </c>
      <c r="W78" s="47" t="str">
        <f t="shared" ref="W78:W90" si="26">IF(O78="","",O78+U78)</f>
        <v/>
      </c>
      <c r="Y78" s="93"/>
      <c r="AA78" s="108"/>
      <c r="AB78" s="109"/>
      <c r="AC78" s="109"/>
      <c r="AD78" s="109"/>
      <c r="AE78" s="109"/>
      <c r="AF78" s="110"/>
    </row>
    <row r="79" spans="1:32" x14ac:dyDescent="0.2">
      <c r="A79" s="45"/>
      <c r="B79" s="45"/>
      <c r="C79" s="233"/>
      <c r="D79" s="233"/>
      <c r="E79" s="233"/>
      <c r="F79" s="233"/>
      <c r="G79" s="233"/>
      <c r="H79" s="46"/>
      <c r="I79" s="46"/>
      <c r="J79" s="41" t="str">
        <f>IF(H79="","",DATEDIF(H79,I79,"m")+1)</f>
        <v/>
      </c>
      <c r="K79" s="51"/>
      <c r="L79" s="47" t="str">
        <f t="shared" si="20"/>
        <v/>
      </c>
      <c r="M79" s="70"/>
      <c r="N79" s="70"/>
      <c r="O79" s="47" t="str">
        <f t="shared" si="24"/>
        <v/>
      </c>
      <c r="P79" s="74" t="str">
        <f t="shared" si="21"/>
        <v/>
      </c>
      <c r="Q79" s="74" t="str">
        <f t="shared" si="22"/>
        <v/>
      </c>
      <c r="R79" s="194" t="str">
        <f t="shared" si="25"/>
        <v/>
      </c>
      <c r="U79" s="47" t="str">
        <f t="shared" si="23"/>
        <v/>
      </c>
      <c r="W79" s="47" t="str">
        <f t="shared" si="26"/>
        <v/>
      </c>
      <c r="Y79" s="93"/>
      <c r="AA79" s="108" t="s">
        <v>132</v>
      </c>
      <c r="AB79" s="109"/>
      <c r="AC79" s="109"/>
      <c r="AD79" s="109"/>
      <c r="AE79" s="116">
        <v>26666.67</v>
      </c>
      <c r="AF79" s="110"/>
    </row>
    <row r="80" spans="1:32" x14ac:dyDescent="0.2">
      <c r="A80" s="119"/>
      <c r="B80" s="119"/>
      <c r="C80" s="233"/>
      <c r="D80" s="233"/>
      <c r="E80" s="233"/>
      <c r="F80" s="233"/>
      <c r="G80" s="233"/>
      <c r="H80" s="46"/>
      <c r="I80" s="46"/>
      <c r="J80" s="41" t="str">
        <f t="shared" ref="J80:J90" si="27">IF(H80="","",DATEDIF(H80,I80,"m")+1)</f>
        <v/>
      </c>
      <c r="K80" s="51"/>
      <c r="L80" s="47" t="str">
        <f t="shared" si="20"/>
        <v/>
      </c>
      <c r="M80" s="70"/>
      <c r="N80" s="70"/>
      <c r="O80" s="47" t="str">
        <f t="shared" si="24"/>
        <v/>
      </c>
      <c r="P80" s="74" t="str">
        <f t="shared" si="21"/>
        <v/>
      </c>
      <c r="Q80" s="74" t="str">
        <f t="shared" si="22"/>
        <v/>
      </c>
      <c r="R80" s="194" t="str">
        <f t="shared" si="25"/>
        <v/>
      </c>
      <c r="U80" s="47" t="str">
        <f t="shared" si="23"/>
        <v/>
      </c>
      <c r="W80" s="47" t="str">
        <f t="shared" si="26"/>
        <v/>
      </c>
      <c r="Y80" s="93"/>
      <c r="AA80" s="108" t="s">
        <v>133</v>
      </c>
      <c r="AB80" s="109"/>
      <c r="AC80" s="109"/>
      <c r="AD80" s="109"/>
      <c r="AE80" s="116">
        <v>15425</v>
      </c>
      <c r="AF80" s="110"/>
    </row>
    <row r="81" spans="1:32" x14ac:dyDescent="0.2">
      <c r="A81" s="45"/>
      <c r="B81" s="45"/>
      <c r="C81" s="233"/>
      <c r="D81" s="233"/>
      <c r="E81" s="233"/>
      <c r="F81" s="233"/>
      <c r="G81" s="233"/>
      <c r="H81" s="46"/>
      <c r="I81" s="46"/>
      <c r="J81" s="41" t="str">
        <f t="shared" si="27"/>
        <v/>
      </c>
      <c r="K81" s="51"/>
      <c r="L81" s="47" t="str">
        <f t="shared" si="20"/>
        <v/>
      </c>
      <c r="M81" s="70"/>
      <c r="N81" s="70"/>
      <c r="O81" s="47" t="str">
        <f t="shared" si="24"/>
        <v/>
      </c>
      <c r="P81" s="74" t="str">
        <f t="shared" si="21"/>
        <v/>
      </c>
      <c r="Q81" s="74" t="str">
        <f t="shared" si="22"/>
        <v/>
      </c>
      <c r="R81" s="194" t="str">
        <f t="shared" si="25"/>
        <v/>
      </c>
      <c r="U81" s="47" t="str">
        <f t="shared" si="23"/>
        <v/>
      </c>
      <c r="W81" s="47" t="str">
        <f t="shared" si="26"/>
        <v/>
      </c>
      <c r="Y81" s="93"/>
      <c r="AA81" s="108" t="s">
        <v>134</v>
      </c>
      <c r="AB81" s="109"/>
      <c r="AC81" s="109"/>
      <c r="AD81" s="109"/>
      <c r="AE81" s="117">
        <v>0.5</v>
      </c>
      <c r="AF81" s="110"/>
    </row>
    <row r="82" spans="1:32" x14ac:dyDescent="0.2">
      <c r="A82" s="45"/>
      <c r="B82" s="45"/>
      <c r="C82" s="233"/>
      <c r="D82" s="233"/>
      <c r="E82" s="233"/>
      <c r="F82" s="233"/>
      <c r="G82" s="233"/>
      <c r="H82" s="46"/>
      <c r="I82" s="46"/>
      <c r="J82" s="41" t="str">
        <f t="shared" si="27"/>
        <v/>
      </c>
      <c r="K82" s="51"/>
      <c r="L82" s="47" t="str">
        <f t="shared" si="20"/>
        <v/>
      </c>
      <c r="M82" s="70"/>
      <c r="N82" s="70"/>
      <c r="O82" s="47" t="str">
        <f t="shared" si="24"/>
        <v/>
      </c>
      <c r="P82" s="74" t="str">
        <f t="shared" si="21"/>
        <v/>
      </c>
      <c r="Q82" s="74" t="str">
        <f t="shared" si="22"/>
        <v/>
      </c>
      <c r="R82" s="194" t="str">
        <f t="shared" si="25"/>
        <v/>
      </c>
      <c r="U82" s="47" t="str">
        <f t="shared" si="23"/>
        <v/>
      </c>
      <c r="W82" s="47" t="str">
        <f t="shared" si="26"/>
        <v/>
      </c>
      <c r="Y82" s="93"/>
      <c r="AA82" s="108" t="s">
        <v>135</v>
      </c>
      <c r="AB82" s="109"/>
      <c r="AC82" s="109"/>
      <c r="AD82" s="109"/>
      <c r="AE82" s="116">
        <f>ROUND((AE79-AE80)*AE81,2)</f>
        <v>5620.84</v>
      </c>
      <c r="AF82" s="110"/>
    </row>
    <row r="83" spans="1:32" x14ac:dyDescent="0.2">
      <c r="A83" s="45"/>
      <c r="B83" s="45"/>
      <c r="C83" s="233"/>
      <c r="D83" s="233"/>
      <c r="E83" s="233"/>
      <c r="F83" s="233"/>
      <c r="G83" s="233"/>
      <c r="H83" s="46"/>
      <c r="I83" s="46"/>
      <c r="J83" s="41" t="str">
        <f t="shared" ref="J83:J84" si="28">IF(H83="","",DATEDIF(H83,I83,"m")+1)</f>
        <v/>
      </c>
      <c r="K83" s="51"/>
      <c r="L83" s="47" t="str">
        <f t="shared" ref="L83:L84" si="29">IF(H83="","",$J$14)</f>
        <v/>
      </c>
      <c r="M83" s="70"/>
      <c r="N83" s="70"/>
      <c r="O83" s="47" t="str">
        <f t="shared" si="24"/>
        <v/>
      </c>
      <c r="P83" s="74" t="str">
        <f t="shared" si="21"/>
        <v/>
      </c>
      <c r="Q83" s="74" t="str">
        <f t="shared" si="22"/>
        <v/>
      </c>
      <c r="R83" s="194" t="str">
        <f t="shared" si="25"/>
        <v/>
      </c>
      <c r="U83" s="47" t="str">
        <f t="shared" si="23"/>
        <v/>
      </c>
      <c r="W83" s="47" t="str">
        <f t="shared" si="26"/>
        <v/>
      </c>
      <c r="Y83" s="93"/>
      <c r="AA83" s="108"/>
      <c r="AB83" s="109"/>
      <c r="AC83" s="109"/>
      <c r="AD83" s="109"/>
      <c r="AE83" s="109"/>
      <c r="AF83" s="110"/>
    </row>
    <row r="84" spans="1:32" x14ac:dyDescent="0.2">
      <c r="A84" s="45"/>
      <c r="B84" s="45"/>
      <c r="C84" s="233"/>
      <c r="D84" s="233"/>
      <c r="E84" s="233"/>
      <c r="F84" s="233"/>
      <c r="G84" s="233"/>
      <c r="H84" s="46"/>
      <c r="I84" s="46"/>
      <c r="J84" s="41" t="str">
        <f t="shared" si="28"/>
        <v/>
      </c>
      <c r="K84" s="51"/>
      <c r="L84" s="47" t="str">
        <f t="shared" si="29"/>
        <v/>
      </c>
      <c r="M84" s="70"/>
      <c r="N84" s="70"/>
      <c r="O84" s="47" t="str">
        <f t="shared" si="24"/>
        <v/>
      </c>
      <c r="P84" s="74" t="str">
        <f t="shared" si="21"/>
        <v/>
      </c>
      <c r="Q84" s="74" t="str">
        <f t="shared" si="22"/>
        <v/>
      </c>
      <c r="R84" s="194" t="str">
        <f t="shared" si="25"/>
        <v/>
      </c>
      <c r="S84" s="23"/>
      <c r="U84" s="47" t="str">
        <f t="shared" si="23"/>
        <v/>
      </c>
      <c r="W84" s="47" t="str">
        <f t="shared" si="26"/>
        <v/>
      </c>
      <c r="Y84" s="93"/>
      <c r="AA84" s="108" t="s">
        <v>137</v>
      </c>
      <c r="AB84" s="109"/>
      <c r="AC84" s="109"/>
      <c r="AD84" s="109"/>
      <c r="AE84" s="116">
        <f>ROUND(AE80*AE81,2)+AE82</f>
        <v>13333.34</v>
      </c>
      <c r="AF84" s="110"/>
    </row>
    <row r="85" spans="1:32" x14ac:dyDescent="0.2">
      <c r="A85" s="45"/>
      <c r="B85" s="45"/>
      <c r="C85" s="233"/>
      <c r="D85" s="233"/>
      <c r="E85" s="233"/>
      <c r="F85" s="233"/>
      <c r="G85" s="233"/>
      <c r="H85" s="46"/>
      <c r="I85" s="46"/>
      <c r="J85" s="41" t="str">
        <f t="shared" si="27"/>
        <v/>
      </c>
      <c r="K85" s="51"/>
      <c r="L85" s="47" t="str">
        <f t="shared" si="20"/>
        <v/>
      </c>
      <c r="M85" s="70"/>
      <c r="N85" s="70"/>
      <c r="O85" s="47" t="str">
        <f t="shared" si="24"/>
        <v/>
      </c>
      <c r="P85" s="74" t="str">
        <f t="shared" si="21"/>
        <v/>
      </c>
      <c r="Q85" s="74" t="str">
        <f t="shared" si="22"/>
        <v/>
      </c>
      <c r="R85" s="194" t="str">
        <f t="shared" si="25"/>
        <v/>
      </c>
      <c r="U85" s="47" t="str">
        <f t="shared" si="23"/>
        <v/>
      </c>
      <c r="W85" s="47" t="str">
        <f t="shared" si="26"/>
        <v/>
      </c>
      <c r="Y85" s="93"/>
      <c r="AA85" s="111" t="s">
        <v>136</v>
      </c>
      <c r="AB85" s="112"/>
      <c r="AC85" s="112"/>
      <c r="AD85" s="112"/>
      <c r="AE85" s="118">
        <f>ROUND(AE81*AE79,2)</f>
        <v>13333.34</v>
      </c>
      <c r="AF85" s="113"/>
    </row>
    <row r="86" spans="1:32" x14ac:dyDescent="0.2">
      <c r="A86" s="119"/>
      <c r="B86" s="119"/>
      <c r="C86" s="233"/>
      <c r="D86" s="233"/>
      <c r="E86" s="233"/>
      <c r="F86" s="233"/>
      <c r="G86" s="233"/>
      <c r="H86" s="46"/>
      <c r="I86" s="46"/>
      <c r="J86" s="41" t="str">
        <f t="shared" ref="J86:J88" si="30">IF(H86="","",DATEDIF(H86,I86,"m")+1)</f>
        <v/>
      </c>
      <c r="K86" s="51"/>
      <c r="L86" s="47" t="str">
        <f t="shared" ref="L86:L88" si="31">IF(H86="","",$J$14)</f>
        <v/>
      </c>
      <c r="M86" s="70"/>
      <c r="N86" s="70"/>
      <c r="O86" s="47" t="str">
        <f t="shared" si="24"/>
        <v/>
      </c>
      <c r="P86" s="74" t="str">
        <f t="shared" si="21"/>
        <v/>
      </c>
      <c r="Q86" s="74" t="str">
        <f t="shared" si="22"/>
        <v/>
      </c>
      <c r="R86" s="194" t="str">
        <f t="shared" si="25"/>
        <v/>
      </c>
      <c r="U86" s="47" t="str">
        <f t="shared" si="23"/>
        <v/>
      </c>
      <c r="W86" s="47" t="str">
        <f t="shared" ref="W86:W88" si="32">IF(O86="","",O86+U86)</f>
        <v/>
      </c>
      <c r="Y86" s="93"/>
      <c r="AA86" s="77"/>
      <c r="AB86" s="77"/>
      <c r="AC86" s="77"/>
      <c r="AD86" s="77"/>
      <c r="AE86" s="123"/>
      <c r="AF86" s="77"/>
    </row>
    <row r="87" spans="1:32" hidden="1" x14ac:dyDescent="0.2">
      <c r="A87" s="119"/>
      <c r="B87" s="119"/>
      <c r="C87" s="233"/>
      <c r="D87" s="233"/>
      <c r="E87" s="233"/>
      <c r="F87" s="233"/>
      <c r="G87" s="233"/>
      <c r="H87" s="46"/>
      <c r="I87" s="46"/>
      <c r="J87" s="41" t="str">
        <f t="shared" si="30"/>
        <v/>
      </c>
      <c r="K87" s="51"/>
      <c r="L87" s="47" t="str">
        <f t="shared" si="31"/>
        <v/>
      </c>
      <c r="M87" s="70"/>
      <c r="N87" s="70"/>
      <c r="O87" s="47" t="str">
        <f t="shared" ref="O87:O88" si="33">IF(ISERROR(J87*K87*L87),"",IF(AND(M87="",N87=""),J87*ROUND(K87*L87,2),IF(N87="",J87*ROUND(K87*M87,2),J87*N87)))</f>
        <v/>
      </c>
      <c r="P87" s="74" t="str">
        <f t="shared" ref="P87:P90" si="34">IF(ISERROR(J87*K87),"",ROUND((J87*K87),4))</f>
        <v/>
      </c>
      <c r="Q87" s="74" t="str">
        <f t="shared" ref="Q87:Q90" si="35">IFERROR(ROUND(P87*0.75,4),"")</f>
        <v/>
      </c>
      <c r="R87" s="194" t="str">
        <f t="shared" si="25"/>
        <v/>
      </c>
      <c r="U87" s="47" t="str">
        <f t="shared" si="23"/>
        <v/>
      </c>
      <c r="W87" s="47" t="str">
        <f t="shared" si="32"/>
        <v/>
      </c>
      <c r="Y87" s="93"/>
      <c r="AA87" s="77"/>
      <c r="AB87" s="77"/>
      <c r="AC87" s="77"/>
      <c r="AD87" s="77"/>
      <c r="AE87" s="123"/>
      <c r="AF87" s="77"/>
    </row>
    <row r="88" spans="1:32" hidden="1" x14ac:dyDescent="0.2">
      <c r="A88" s="119"/>
      <c r="B88" s="119"/>
      <c r="C88" s="233"/>
      <c r="D88" s="233"/>
      <c r="E88" s="233"/>
      <c r="F88" s="233"/>
      <c r="G88" s="233"/>
      <c r="H88" s="46"/>
      <c r="I88" s="46"/>
      <c r="J88" s="41" t="str">
        <f t="shared" si="30"/>
        <v/>
      </c>
      <c r="K88" s="51"/>
      <c r="L88" s="47" t="str">
        <f t="shared" si="31"/>
        <v/>
      </c>
      <c r="M88" s="70"/>
      <c r="N88" s="70"/>
      <c r="O88" s="47" t="str">
        <f t="shared" si="33"/>
        <v/>
      </c>
      <c r="P88" s="74" t="str">
        <f t="shared" si="34"/>
        <v/>
      </c>
      <c r="Q88" s="74" t="str">
        <f t="shared" si="35"/>
        <v/>
      </c>
      <c r="R88" s="194" t="str">
        <f t="shared" si="25"/>
        <v/>
      </c>
      <c r="U88" s="47" t="str">
        <f t="shared" si="23"/>
        <v/>
      </c>
      <c r="W88" s="47" t="str">
        <f t="shared" si="32"/>
        <v/>
      </c>
      <c r="Y88" s="93"/>
      <c r="AA88" s="77"/>
      <c r="AB88" s="77"/>
      <c r="AC88" s="77"/>
      <c r="AD88" s="77"/>
      <c r="AE88" s="123"/>
      <c r="AF88" s="77"/>
    </row>
    <row r="89" spans="1:32" hidden="1" x14ac:dyDescent="0.2">
      <c r="A89" s="45"/>
      <c r="B89" s="45"/>
      <c r="C89" s="233"/>
      <c r="D89" s="233"/>
      <c r="E89" s="233"/>
      <c r="F89" s="233"/>
      <c r="G89" s="233"/>
      <c r="H89" s="46"/>
      <c r="I89" s="46"/>
      <c r="J89" s="41" t="str">
        <f t="shared" si="27"/>
        <v/>
      </c>
      <c r="K89" s="51"/>
      <c r="L89" s="47" t="str">
        <f t="shared" si="20"/>
        <v/>
      </c>
      <c r="M89" s="70"/>
      <c r="N89" s="70"/>
      <c r="O89" s="47" t="str">
        <f t="shared" ref="O89:O90" si="36">IF(ISERROR(J89*K89*L89),"",IF(AND(M89="",N89=""),J89*ROUND(K89*L89,2),IF(N89="",J89*ROUND(K89*M89,2),J89*N89)))</f>
        <v/>
      </c>
      <c r="P89" s="74" t="str">
        <f t="shared" si="34"/>
        <v/>
      </c>
      <c r="Q89" s="74" t="str">
        <f t="shared" si="35"/>
        <v/>
      </c>
      <c r="R89" s="194" t="str">
        <f t="shared" si="25"/>
        <v/>
      </c>
      <c r="U89" s="47" t="str">
        <f t="shared" si="23"/>
        <v/>
      </c>
      <c r="W89" s="47" t="str">
        <f t="shared" si="26"/>
        <v/>
      </c>
      <c r="Y89" s="93"/>
    </row>
    <row r="90" spans="1:32" hidden="1" x14ac:dyDescent="0.2">
      <c r="A90" s="45"/>
      <c r="B90" s="45"/>
      <c r="C90" s="233"/>
      <c r="D90" s="233"/>
      <c r="E90" s="233"/>
      <c r="F90" s="233"/>
      <c r="G90" s="233"/>
      <c r="H90" s="46"/>
      <c r="I90" s="46"/>
      <c r="J90" s="41" t="str">
        <f t="shared" si="27"/>
        <v/>
      </c>
      <c r="K90" s="51"/>
      <c r="L90" s="47" t="str">
        <f t="shared" si="20"/>
        <v/>
      </c>
      <c r="M90" s="70"/>
      <c r="N90" s="70"/>
      <c r="O90" s="47" t="str">
        <f t="shared" si="36"/>
        <v/>
      </c>
      <c r="P90" s="74" t="str">
        <f t="shared" si="34"/>
        <v/>
      </c>
      <c r="Q90" s="74" t="str">
        <f t="shared" si="35"/>
        <v/>
      </c>
      <c r="R90" s="194" t="str">
        <f t="shared" si="25"/>
        <v/>
      </c>
      <c r="U90" s="47" t="str">
        <f t="shared" si="23"/>
        <v/>
      </c>
      <c r="W90" s="47" t="str">
        <f t="shared" si="26"/>
        <v/>
      </c>
      <c r="Y90" s="93"/>
    </row>
    <row r="91" spans="1:32" x14ac:dyDescent="0.2">
      <c r="A91" s="29"/>
      <c r="B91" s="29"/>
      <c r="C91" s="29"/>
      <c r="D91" s="29"/>
      <c r="E91" s="29"/>
      <c r="F91" s="29"/>
      <c r="G91" s="29"/>
      <c r="H91" s="29"/>
      <c r="I91" s="29"/>
      <c r="J91" s="29"/>
      <c r="K91" s="52"/>
      <c r="L91" s="49"/>
      <c r="M91" s="29"/>
      <c r="N91" s="29"/>
      <c r="O91" s="49">
        <f>SUM(O77:O90)</f>
        <v>0</v>
      </c>
      <c r="P91" s="52">
        <f>SUM(P77:P90)</f>
        <v>0</v>
      </c>
      <c r="Q91" s="52">
        <f>SUM(Q77:Q90)</f>
        <v>0</v>
      </c>
      <c r="R91" s="52"/>
      <c r="S91" s="49"/>
      <c r="U91" s="49">
        <f>SUM(U77:U90)</f>
        <v>0</v>
      </c>
      <c r="W91" s="49">
        <f>SUM(W77:W90)</f>
        <v>0</v>
      </c>
      <c r="Y91" s="93"/>
    </row>
    <row r="92" spans="1:32" x14ac:dyDescent="0.2">
      <c r="N92" s="40" t="s">
        <v>91</v>
      </c>
      <c r="O92" s="50">
        <f>I12</f>
        <v>0</v>
      </c>
      <c r="P92" s="50"/>
      <c r="Q92" s="50"/>
      <c r="R92" s="50"/>
      <c r="Y92" s="93"/>
    </row>
    <row r="93" spans="1:32" x14ac:dyDescent="0.2">
      <c r="J93" s="40"/>
      <c r="K93" s="71"/>
      <c r="N93" s="40" t="s">
        <v>142</v>
      </c>
      <c r="O93" s="50">
        <f>O91-O92</f>
        <v>0</v>
      </c>
      <c r="P93" s="50"/>
      <c r="Q93" s="50"/>
      <c r="R93" s="50"/>
      <c r="Y93" s="93"/>
    </row>
    <row r="94" spans="1:32" x14ac:dyDescent="0.2">
      <c r="J94" s="40"/>
      <c r="K94" s="71"/>
      <c r="N94" s="40"/>
      <c r="O94" s="50"/>
      <c r="P94" s="50"/>
      <c r="Q94" s="50"/>
      <c r="R94" s="50"/>
      <c r="Y94" s="93"/>
    </row>
    <row r="95" spans="1:32" x14ac:dyDescent="0.2">
      <c r="J95" s="40"/>
      <c r="K95" s="71"/>
      <c r="N95" s="40" t="s">
        <v>143</v>
      </c>
      <c r="O95" s="50">
        <f>O39+O58+O91</f>
        <v>0</v>
      </c>
      <c r="P95" s="50"/>
      <c r="Q95" s="50"/>
      <c r="R95" s="50"/>
      <c r="Y95" s="93"/>
    </row>
    <row r="96" spans="1:32" x14ac:dyDescent="0.2">
      <c r="J96" s="40"/>
      <c r="K96" s="71"/>
      <c r="N96" s="40" t="s">
        <v>144</v>
      </c>
      <c r="O96" s="50">
        <f>O95-(J12*L12)</f>
        <v>0</v>
      </c>
      <c r="P96" s="50"/>
      <c r="Q96" s="50"/>
      <c r="R96" s="50"/>
      <c r="Y96" s="93"/>
    </row>
    <row r="97" spans="1:25" x14ac:dyDescent="0.2">
      <c r="J97" s="40"/>
      <c r="K97" s="71"/>
      <c r="N97" s="40"/>
      <c r="O97" s="50"/>
      <c r="P97" s="121" t="s">
        <v>153</v>
      </c>
      <c r="Q97" s="121" t="s">
        <v>152</v>
      </c>
      <c r="R97" s="121"/>
      <c r="Y97" s="93"/>
    </row>
    <row r="98" spans="1:25" x14ac:dyDescent="0.2">
      <c r="J98" s="40"/>
      <c r="K98" s="71"/>
      <c r="N98" s="40" t="s">
        <v>149</v>
      </c>
      <c r="O98" s="185">
        <f>P98</f>
        <v>0</v>
      </c>
      <c r="P98" s="185">
        <f>P39+P58+P91</f>
        <v>0</v>
      </c>
      <c r="Q98" s="185">
        <f>Q39+Q58+Q91</f>
        <v>0</v>
      </c>
      <c r="R98" s="185"/>
      <c r="Y98" s="93"/>
    </row>
    <row r="99" spans="1:25" x14ac:dyDescent="0.2">
      <c r="J99" s="40"/>
      <c r="K99" s="71"/>
      <c r="N99" s="40"/>
      <c r="O99" s="50"/>
      <c r="P99" s="50"/>
      <c r="Q99" s="50"/>
      <c r="R99" s="50"/>
      <c r="Y99" s="93"/>
    </row>
    <row r="100" spans="1:25" x14ac:dyDescent="0.2">
      <c r="A100" s="16" t="s">
        <v>98</v>
      </c>
      <c r="U100" s="23"/>
      <c r="Y100" s="93"/>
    </row>
    <row r="101" spans="1:25" x14ac:dyDescent="0.2">
      <c r="A101" s="244" t="s">
        <v>268</v>
      </c>
      <c r="B101" s="244"/>
      <c r="C101" s="244"/>
      <c r="D101" s="244"/>
      <c r="E101" s="244"/>
      <c r="F101" s="244"/>
      <c r="G101" s="244"/>
      <c r="H101" s="244"/>
      <c r="I101" s="244"/>
      <c r="J101" s="244"/>
      <c r="K101" s="244"/>
      <c r="L101" s="244"/>
      <c r="M101" s="244"/>
      <c r="N101" s="244"/>
      <c r="O101" s="244"/>
      <c r="Y101" s="93"/>
    </row>
    <row r="102" spans="1:25" ht="30" customHeight="1" x14ac:dyDescent="0.2">
      <c r="A102" s="244" t="s">
        <v>182</v>
      </c>
      <c r="B102" s="244"/>
      <c r="C102" s="244"/>
      <c r="D102" s="244"/>
      <c r="E102" s="244"/>
      <c r="F102" s="244"/>
      <c r="G102" s="244"/>
      <c r="H102" s="244"/>
      <c r="I102" s="244"/>
      <c r="J102" s="244"/>
      <c r="K102" s="244"/>
      <c r="L102" s="244"/>
      <c r="M102" s="244"/>
      <c r="N102" s="244"/>
      <c r="O102" s="244"/>
      <c r="Y102" s="93"/>
    </row>
    <row r="103" spans="1:25" ht="8" customHeight="1" x14ac:dyDescent="0.2">
      <c r="A103" s="163"/>
      <c r="B103" s="163"/>
      <c r="C103" s="163"/>
      <c r="D103" s="163"/>
      <c r="E103" s="163"/>
      <c r="F103" s="163"/>
      <c r="G103" s="163"/>
      <c r="H103" s="163"/>
      <c r="I103" s="163"/>
      <c r="J103" s="163"/>
      <c r="K103" s="163"/>
      <c r="L103" s="163"/>
      <c r="M103" s="163"/>
      <c r="N103" s="163"/>
      <c r="O103" s="163"/>
      <c r="S103" s="184"/>
      <c r="Y103" s="93"/>
    </row>
    <row r="104" spans="1:25" ht="30" customHeight="1" x14ac:dyDescent="0.2">
      <c r="A104" s="187" t="s">
        <v>196</v>
      </c>
      <c r="B104" s="234" t="s">
        <v>230</v>
      </c>
      <c r="C104" s="234"/>
      <c r="D104" s="234"/>
      <c r="E104" s="234"/>
      <c r="F104" s="234"/>
      <c r="G104" s="234"/>
      <c r="H104" s="234"/>
      <c r="I104" s="234"/>
      <c r="J104" s="234"/>
      <c r="K104" s="234"/>
      <c r="L104" s="234"/>
      <c r="M104" s="234"/>
      <c r="N104" s="234"/>
      <c r="O104" s="234"/>
      <c r="S104" s="184"/>
      <c r="Y104" s="93"/>
    </row>
    <row r="105" spans="1:25" ht="8" customHeight="1" x14ac:dyDescent="0.2">
      <c r="A105" s="163"/>
      <c r="B105" s="163"/>
      <c r="C105" s="163"/>
      <c r="D105" s="163"/>
      <c r="E105" s="163"/>
      <c r="F105" s="163"/>
      <c r="G105" s="163"/>
      <c r="H105" s="163"/>
      <c r="I105" s="163"/>
      <c r="J105" s="163"/>
      <c r="K105" s="163"/>
      <c r="L105" s="163"/>
      <c r="M105" s="163"/>
      <c r="N105" s="163"/>
      <c r="O105" s="163"/>
      <c r="S105" s="184"/>
      <c r="Y105" s="93"/>
    </row>
    <row r="106" spans="1:25" x14ac:dyDescent="0.2">
      <c r="A106" s="29" t="s">
        <v>70</v>
      </c>
      <c r="B106" s="29" t="s">
        <v>71</v>
      </c>
      <c r="C106" s="29" t="s">
        <v>72</v>
      </c>
      <c r="D106" s="29"/>
      <c r="E106" s="29"/>
      <c r="F106" s="29" t="s">
        <v>80</v>
      </c>
      <c r="G106" s="29"/>
      <c r="H106" s="43" t="s">
        <v>73</v>
      </c>
      <c r="I106" s="43" t="s">
        <v>74</v>
      </c>
      <c r="J106" s="43" t="s">
        <v>95</v>
      </c>
      <c r="K106" s="43" t="s">
        <v>76</v>
      </c>
      <c r="L106" s="43" t="s">
        <v>75</v>
      </c>
      <c r="M106" s="43" t="s">
        <v>77</v>
      </c>
      <c r="N106" s="43" t="s">
        <v>96</v>
      </c>
      <c r="O106" s="43" t="s">
        <v>78</v>
      </c>
      <c r="P106" s="43" t="s">
        <v>150</v>
      </c>
      <c r="Q106" s="43" t="s">
        <v>151</v>
      </c>
      <c r="R106" s="43" t="s">
        <v>203</v>
      </c>
      <c r="S106" s="43" t="s">
        <v>112</v>
      </c>
      <c r="U106" s="43" t="s">
        <v>105</v>
      </c>
      <c r="W106" s="43" t="s">
        <v>106</v>
      </c>
      <c r="Y106" s="93"/>
    </row>
    <row r="107" spans="1:25" s="23" customFormat="1" ht="9" customHeight="1" x14ac:dyDescent="0.2">
      <c r="H107" s="48"/>
      <c r="I107" s="48"/>
      <c r="J107" s="48"/>
      <c r="K107" s="48"/>
      <c r="L107" s="48"/>
      <c r="M107" s="48"/>
      <c r="N107" s="48"/>
      <c r="O107" s="48"/>
      <c r="P107" s="48"/>
      <c r="Q107" s="48"/>
      <c r="R107" s="48"/>
      <c r="U107" s="48"/>
      <c r="Y107" s="93"/>
    </row>
    <row r="108" spans="1:25" x14ac:dyDescent="0.2">
      <c r="A108" s="45"/>
      <c r="B108" s="45"/>
      <c r="C108" s="233"/>
      <c r="D108" s="233"/>
      <c r="E108" s="233"/>
      <c r="F108" s="233"/>
      <c r="G108" s="233"/>
      <c r="H108" s="46"/>
      <c r="I108" s="46"/>
      <c r="J108" s="41" t="str">
        <f>IF(H108="","",DATEDIF(H108,I108,"m")+1)</f>
        <v/>
      </c>
      <c r="K108" s="51"/>
      <c r="L108" s="47" t="str">
        <f>IF(H108="","",$M$14)</f>
        <v/>
      </c>
      <c r="M108" s="70"/>
      <c r="N108" s="70"/>
      <c r="O108" s="47" t="str">
        <f t="shared" ref="O108:O120" si="37">IF(ISERROR(J108*K108*L108),"",IF(AND(M108="",N108=""),J108*ROUND(K108*L108,2),IF(N108="",J108*ROUND(K108*M108,2),J108*N108)))</f>
        <v/>
      </c>
      <c r="P108" s="74" t="str">
        <f>IF(ISERROR(J108*K108),"",ROUND((J108*K108/3),4))</f>
        <v/>
      </c>
      <c r="Q108" s="74" t="str">
        <f>IFERROR(ROUND(P108*0.25,4),"")</f>
        <v/>
      </c>
      <c r="R108" s="194" t="str">
        <f>IF(ISBLANK(H108),"",IF(M108&gt;0,"ARC",IF(N108&gt;0,"AAC","ACR")))</f>
        <v/>
      </c>
      <c r="S108" t="s">
        <v>231</v>
      </c>
      <c r="U108" s="47" t="str">
        <f>IF(O108="","",ROUND(O108*$V$24,2))</f>
        <v/>
      </c>
      <c r="W108" s="47" t="str">
        <f>IF(O108="","",O108+U108)</f>
        <v/>
      </c>
      <c r="Y108" s="93"/>
    </row>
    <row r="109" spans="1:25" x14ac:dyDescent="0.2">
      <c r="A109" s="119"/>
      <c r="B109" s="119"/>
      <c r="C109" s="233"/>
      <c r="D109" s="233"/>
      <c r="E109" s="233"/>
      <c r="F109" s="233"/>
      <c r="G109" s="233"/>
      <c r="H109" s="46"/>
      <c r="I109" s="46"/>
      <c r="J109" s="41" t="str">
        <f>IF(H109="","",DATEDIF(H109,I109,"m")+1)</f>
        <v/>
      </c>
      <c r="K109" s="51"/>
      <c r="L109" s="47" t="str">
        <f>IF(H109="","",$M$14)</f>
        <v/>
      </c>
      <c r="M109" s="70"/>
      <c r="N109" s="70"/>
      <c r="O109" s="47" t="str">
        <f t="shared" ref="O109:O112" si="38">IF(ISERROR(J109*K109*L109),"",IF(AND(M109="",N109=""),J109*ROUND(K109*L109,2),IF(N109="",J109*ROUND(K109*M109,2),J109*N109)))</f>
        <v/>
      </c>
      <c r="P109" s="74" t="str">
        <f t="shared" ref="P109:P117" si="39">IF(ISERROR(J109*K109),"",ROUND((J109*K109/3),4))</f>
        <v/>
      </c>
      <c r="Q109" s="74" t="str">
        <f t="shared" ref="Q109:Q117" si="40">IFERROR(ROUND(P109*0.25,4),"")</f>
        <v/>
      </c>
      <c r="R109" s="194" t="str">
        <f t="shared" ref="R109:R117" si="41">IF(ISBLANK(H109),"",IF(M109&gt;0,"ARC",IF(N109&gt;0,"AAC","ACR")))</f>
        <v/>
      </c>
      <c r="S109" t="s">
        <v>231</v>
      </c>
      <c r="U109" s="47" t="str">
        <f t="shared" ref="U109:U112" si="42">IF(O109="","",ROUND(O109*$V$24,2))</f>
        <v/>
      </c>
      <c r="W109" s="47" t="str">
        <f>IF(O109="","",O109+U109)</f>
        <v/>
      </c>
      <c r="Y109" s="93"/>
    </row>
    <row r="110" spans="1:25" x14ac:dyDescent="0.2">
      <c r="A110" s="119"/>
      <c r="B110" s="119"/>
      <c r="C110" s="233"/>
      <c r="D110" s="233"/>
      <c r="E110" s="233"/>
      <c r="F110" s="233"/>
      <c r="G110" s="233"/>
      <c r="H110" s="46"/>
      <c r="I110" s="46"/>
      <c r="J110" s="41" t="str">
        <f t="shared" ref="J110" si="43">IF(H110="","",DATEDIF(H110,I110,"m")+1)</f>
        <v/>
      </c>
      <c r="K110" s="51"/>
      <c r="L110" s="47" t="str">
        <f t="shared" ref="L110" si="44">IF(H110="","",$M$14)</f>
        <v/>
      </c>
      <c r="M110" s="70"/>
      <c r="N110" s="70"/>
      <c r="O110" s="47" t="str">
        <f t="shared" si="38"/>
        <v/>
      </c>
      <c r="P110" s="74" t="str">
        <f t="shared" si="39"/>
        <v/>
      </c>
      <c r="Q110" s="74" t="str">
        <f t="shared" si="40"/>
        <v/>
      </c>
      <c r="R110" s="194" t="str">
        <f t="shared" si="41"/>
        <v/>
      </c>
      <c r="S110" t="s">
        <v>231</v>
      </c>
      <c r="U110" s="47" t="str">
        <f>IF(O110="","",ROUND(O110*$V$24,2))</f>
        <v/>
      </c>
      <c r="W110" s="47" t="str">
        <f>IF(O110="","",O110+U110)</f>
        <v/>
      </c>
      <c r="Y110" s="93"/>
    </row>
    <row r="111" spans="1:25" x14ac:dyDescent="0.2">
      <c r="A111" s="119"/>
      <c r="B111" s="119"/>
      <c r="C111" s="119"/>
      <c r="D111" s="119"/>
      <c r="E111" s="119"/>
      <c r="F111" s="233"/>
      <c r="G111" s="233"/>
      <c r="H111" s="46"/>
      <c r="I111" s="46"/>
      <c r="J111" s="41" t="str">
        <f>IF(H111="","",DATEDIF(H111,I111,"m")+1)</f>
        <v/>
      </c>
      <c r="K111" s="51"/>
      <c r="L111" s="47" t="str">
        <f t="shared" ref="L111:L112" si="45">IF(H111="","",$M$14)</f>
        <v/>
      </c>
      <c r="M111" s="70"/>
      <c r="N111" s="70"/>
      <c r="O111" s="47" t="str">
        <f t="shared" si="38"/>
        <v/>
      </c>
      <c r="P111" s="74" t="str">
        <f t="shared" si="39"/>
        <v/>
      </c>
      <c r="Q111" s="74" t="str">
        <f t="shared" si="40"/>
        <v/>
      </c>
      <c r="R111" s="194" t="str">
        <f t="shared" si="41"/>
        <v/>
      </c>
      <c r="U111" s="47" t="str">
        <f t="shared" si="42"/>
        <v/>
      </c>
      <c r="W111" s="47" t="str">
        <f t="shared" ref="W111:W112" si="46">IF(O111="","",O111+U111)</f>
        <v/>
      </c>
      <c r="Y111" s="93"/>
    </row>
    <row r="112" spans="1:25" x14ac:dyDescent="0.2">
      <c r="A112" s="119"/>
      <c r="B112" s="119"/>
      <c r="C112" s="119"/>
      <c r="D112" s="119"/>
      <c r="E112" s="119"/>
      <c r="F112" s="233"/>
      <c r="G112" s="233"/>
      <c r="H112" s="46"/>
      <c r="I112" s="46"/>
      <c r="J112" s="41" t="str">
        <f t="shared" ref="J112" si="47">IF(H112="","",DATEDIF(H112,I112,"m")+1)</f>
        <v/>
      </c>
      <c r="K112" s="51"/>
      <c r="L112" s="47" t="str">
        <f t="shared" si="45"/>
        <v/>
      </c>
      <c r="M112" s="70"/>
      <c r="N112" s="70"/>
      <c r="O112" s="47" t="str">
        <f t="shared" si="38"/>
        <v/>
      </c>
      <c r="P112" s="74" t="str">
        <f t="shared" si="39"/>
        <v/>
      </c>
      <c r="Q112" s="74" t="str">
        <f t="shared" si="40"/>
        <v/>
      </c>
      <c r="R112" s="194" t="str">
        <f t="shared" si="41"/>
        <v/>
      </c>
      <c r="U112" s="47" t="str">
        <f t="shared" si="42"/>
        <v/>
      </c>
      <c r="W112" s="47" t="str">
        <f t="shared" si="46"/>
        <v/>
      </c>
      <c r="Y112" s="93"/>
    </row>
    <row r="113" spans="1:25" x14ac:dyDescent="0.2">
      <c r="A113" s="45"/>
      <c r="B113" s="45"/>
      <c r="C113" s="233"/>
      <c r="D113" s="233"/>
      <c r="E113" s="233"/>
      <c r="F113" s="233"/>
      <c r="G113" s="233"/>
      <c r="H113" s="46"/>
      <c r="I113" s="46"/>
      <c r="J113" s="41" t="str">
        <f t="shared" ref="J113:J120" si="48">IF(H113="","",DATEDIF(H113,I113,"m")+1)</f>
        <v/>
      </c>
      <c r="K113" s="51"/>
      <c r="L113" s="47" t="str">
        <f t="shared" ref="L113:L120" si="49">IF(H113="","",$M$14)</f>
        <v/>
      </c>
      <c r="M113" s="70"/>
      <c r="N113" s="70"/>
      <c r="O113" s="47" t="str">
        <f t="shared" si="37"/>
        <v/>
      </c>
      <c r="P113" s="74" t="str">
        <f t="shared" si="39"/>
        <v/>
      </c>
      <c r="Q113" s="74" t="str">
        <f t="shared" si="40"/>
        <v/>
      </c>
      <c r="R113" s="194" t="str">
        <f t="shared" si="41"/>
        <v/>
      </c>
      <c r="U113" s="47" t="str">
        <f t="shared" ref="U113:U120" si="50">IF(O113="","",ROUND(O113*$V$24,2))</f>
        <v/>
      </c>
      <c r="W113" s="47" t="str">
        <f t="shared" ref="W113:W120" si="51">IF(O113="","",O113+U113)</f>
        <v/>
      </c>
      <c r="Y113" s="93"/>
    </row>
    <row r="114" spans="1:25" x14ac:dyDescent="0.2">
      <c r="A114" s="119"/>
      <c r="B114" s="119"/>
      <c r="C114" s="233"/>
      <c r="D114" s="233"/>
      <c r="E114" s="233"/>
      <c r="F114" s="233"/>
      <c r="G114" s="233"/>
      <c r="H114" s="46"/>
      <c r="I114" s="46"/>
      <c r="J114" s="41" t="str">
        <f t="shared" ref="J114:J118" si="52">IF(H114="","",DATEDIF(H114,I114,"m")+1)</f>
        <v/>
      </c>
      <c r="K114" s="51"/>
      <c r="L114" s="47" t="str">
        <f t="shared" ref="L114:L118" si="53">IF(H114="","",$M$14)</f>
        <v/>
      </c>
      <c r="M114" s="70"/>
      <c r="N114" s="70"/>
      <c r="O114" s="47" t="str">
        <f t="shared" ref="O114:O118" si="54">IF(ISERROR(J114*K114*L114),"",IF(AND(M114="",N114=""),J114*ROUND(K114*L114,2),IF(N114="",J114*ROUND(K114*M114,2),J114*N114)))</f>
        <v/>
      </c>
      <c r="P114" s="74" t="str">
        <f t="shared" si="39"/>
        <v/>
      </c>
      <c r="Q114" s="74" t="str">
        <f t="shared" si="40"/>
        <v/>
      </c>
      <c r="R114" s="194" t="str">
        <f t="shared" si="41"/>
        <v/>
      </c>
      <c r="U114" s="47" t="str">
        <f t="shared" si="50"/>
        <v/>
      </c>
      <c r="W114" s="47" t="str">
        <f t="shared" si="51"/>
        <v/>
      </c>
      <c r="Y114" s="93"/>
    </row>
    <row r="115" spans="1:25" x14ac:dyDescent="0.2">
      <c r="A115" s="119"/>
      <c r="B115" s="119"/>
      <c r="C115" s="233"/>
      <c r="D115" s="233"/>
      <c r="E115" s="233"/>
      <c r="F115" s="233"/>
      <c r="G115" s="233"/>
      <c r="H115" s="46"/>
      <c r="I115" s="46"/>
      <c r="J115" s="41" t="str">
        <f t="shared" si="52"/>
        <v/>
      </c>
      <c r="K115" s="51"/>
      <c r="L115" s="47" t="str">
        <f t="shared" si="53"/>
        <v/>
      </c>
      <c r="M115" s="70"/>
      <c r="N115" s="70"/>
      <c r="O115" s="47" t="str">
        <f t="shared" si="54"/>
        <v/>
      </c>
      <c r="P115" s="74" t="str">
        <f t="shared" si="39"/>
        <v/>
      </c>
      <c r="Q115" s="74" t="str">
        <f t="shared" si="40"/>
        <v/>
      </c>
      <c r="R115" s="194" t="str">
        <f t="shared" si="41"/>
        <v/>
      </c>
      <c r="U115" s="47" t="str">
        <f t="shared" si="50"/>
        <v/>
      </c>
      <c r="W115" s="47" t="str">
        <f t="shared" si="51"/>
        <v/>
      </c>
      <c r="Y115" s="93"/>
    </row>
    <row r="116" spans="1:25" x14ac:dyDescent="0.2">
      <c r="A116" s="119"/>
      <c r="B116" s="119"/>
      <c r="C116" s="233"/>
      <c r="D116" s="233"/>
      <c r="E116" s="233"/>
      <c r="F116" s="233"/>
      <c r="G116" s="233"/>
      <c r="H116" s="46"/>
      <c r="I116" s="46"/>
      <c r="J116" s="41" t="str">
        <f t="shared" si="52"/>
        <v/>
      </c>
      <c r="K116" s="51"/>
      <c r="L116" s="47" t="str">
        <f t="shared" si="53"/>
        <v/>
      </c>
      <c r="M116" s="70"/>
      <c r="N116" s="70"/>
      <c r="O116" s="47" t="str">
        <f t="shared" si="54"/>
        <v/>
      </c>
      <c r="P116" s="74" t="str">
        <f t="shared" si="39"/>
        <v/>
      </c>
      <c r="Q116" s="74" t="str">
        <f t="shared" si="40"/>
        <v/>
      </c>
      <c r="R116" s="194" t="str">
        <f t="shared" si="41"/>
        <v/>
      </c>
      <c r="U116" s="47" t="str">
        <f t="shared" si="50"/>
        <v/>
      </c>
      <c r="W116" s="47" t="str">
        <f t="shared" si="51"/>
        <v/>
      </c>
      <c r="Y116" s="93"/>
    </row>
    <row r="117" spans="1:25" hidden="1" x14ac:dyDescent="0.2">
      <c r="A117" s="119"/>
      <c r="B117" s="119"/>
      <c r="C117" s="233"/>
      <c r="D117" s="233"/>
      <c r="E117" s="233"/>
      <c r="F117" s="233"/>
      <c r="G117" s="233"/>
      <c r="H117" s="46"/>
      <c r="I117" s="46"/>
      <c r="J117" s="41" t="str">
        <f t="shared" si="52"/>
        <v/>
      </c>
      <c r="K117" s="51"/>
      <c r="L117" s="47" t="str">
        <f t="shared" si="53"/>
        <v/>
      </c>
      <c r="M117" s="70"/>
      <c r="N117" s="70"/>
      <c r="O117" s="47" t="str">
        <f t="shared" si="54"/>
        <v/>
      </c>
      <c r="P117" s="74" t="str">
        <f t="shared" si="39"/>
        <v/>
      </c>
      <c r="Q117" s="74" t="str">
        <f t="shared" si="40"/>
        <v/>
      </c>
      <c r="R117" s="194" t="str">
        <f t="shared" si="41"/>
        <v/>
      </c>
      <c r="U117" s="47" t="str">
        <f t="shared" si="50"/>
        <v/>
      </c>
      <c r="W117" s="47" t="str">
        <f t="shared" si="51"/>
        <v/>
      </c>
      <c r="Y117" s="93"/>
    </row>
    <row r="118" spans="1:25" hidden="1" x14ac:dyDescent="0.2">
      <c r="A118" s="119"/>
      <c r="B118" s="119"/>
      <c r="C118" s="233"/>
      <c r="D118" s="233"/>
      <c r="E118" s="233"/>
      <c r="F118" s="233"/>
      <c r="G118" s="233"/>
      <c r="H118" s="46"/>
      <c r="I118" s="46"/>
      <c r="J118" s="41" t="str">
        <f t="shared" si="52"/>
        <v/>
      </c>
      <c r="K118" s="51"/>
      <c r="L118" s="47" t="str">
        <f t="shared" si="53"/>
        <v/>
      </c>
      <c r="M118" s="70"/>
      <c r="N118" s="70"/>
      <c r="O118" s="47" t="str">
        <f t="shared" si="54"/>
        <v/>
      </c>
      <c r="P118" s="74" t="str">
        <f t="shared" ref="P118:P120" si="55">IF(ISERROR(J118*K118),"",(J118*K118/3))</f>
        <v/>
      </c>
      <c r="Q118" s="74" t="str">
        <f t="shared" ref="Q118:Q120" si="56">IFERROR(P118*0.25,"")</f>
        <v/>
      </c>
      <c r="R118" s="74"/>
      <c r="U118" s="47" t="str">
        <f t="shared" si="50"/>
        <v/>
      </c>
      <c r="W118" s="47" t="str">
        <f t="shared" si="51"/>
        <v/>
      </c>
      <c r="Y118" s="93"/>
    </row>
    <row r="119" spans="1:25" hidden="1" x14ac:dyDescent="0.2">
      <c r="A119" s="45"/>
      <c r="B119" s="45"/>
      <c r="C119" s="233"/>
      <c r="D119" s="233"/>
      <c r="E119" s="233"/>
      <c r="F119" s="233"/>
      <c r="G119" s="233"/>
      <c r="H119" s="46"/>
      <c r="I119" s="46"/>
      <c r="J119" s="41" t="str">
        <f t="shared" si="48"/>
        <v/>
      </c>
      <c r="K119" s="51"/>
      <c r="L119" s="47" t="str">
        <f t="shared" si="49"/>
        <v/>
      </c>
      <c r="M119" s="70"/>
      <c r="N119" s="70"/>
      <c r="O119" s="47" t="str">
        <f t="shared" si="37"/>
        <v/>
      </c>
      <c r="P119" s="74" t="str">
        <f t="shared" si="55"/>
        <v/>
      </c>
      <c r="Q119" s="74" t="str">
        <f t="shared" si="56"/>
        <v/>
      </c>
      <c r="R119" s="74"/>
      <c r="U119" s="47" t="str">
        <f t="shared" si="50"/>
        <v/>
      </c>
      <c r="W119" s="47" t="str">
        <f t="shared" si="51"/>
        <v/>
      </c>
      <c r="Y119" s="93"/>
    </row>
    <row r="120" spans="1:25" hidden="1" x14ac:dyDescent="0.2">
      <c r="A120" s="45"/>
      <c r="B120" s="45"/>
      <c r="C120" s="233"/>
      <c r="D120" s="233"/>
      <c r="E120" s="233"/>
      <c r="F120" s="233"/>
      <c r="G120" s="233"/>
      <c r="H120" s="46"/>
      <c r="I120" s="46"/>
      <c r="J120" s="41" t="str">
        <f t="shared" si="48"/>
        <v/>
      </c>
      <c r="K120" s="51"/>
      <c r="L120" s="47" t="str">
        <f t="shared" si="49"/>
        <v/>
      </c>
      <c r="M120" s="70"/>
      <c r="N120" s="70"/>
      <c r="O120" s="47" t="str">
        <f t="shared" si="37"/>
        <v/>
      </c>
      <c r="P120" s="74" t="str">
        <f t="shared" si="55"/>
        <v/>
      </c>
      <c r="Q120" s="74" t="str">
        <f t="shared" si="56"/>
        <v/>
      </c>
      <c r="R120" s="74"/>
      <c r="U120" s="47" t="str">
        <f t="shared" si="50"/>
        <v/>
      </c>
      <c r="W120" s="47" t="str">
        <f t="shared" si="51"/>
        <v/>
      </c>
      <c r="Y120" s="93"/>
    </row>
    <row r="121" spans="1:25" x14ac:dyDescent="0.2">
      <c r="A121" s="29"/>
      <c r="B121" s="29"/>
      <c r="C121" s="29"/>
      <c r="D121" s="29"/>
      <c r="E121" s="29"/>
      <c r="F121" s="29"/>
      <c r="G121" s="29"/>
      <c r="H121" s="29"/>
      <c r="I121" s="29"/>
      <c r="J121" s="29"/>
      <c r="K121" s="52"/>
      <c r="L121" s="49"/>
      <c r="M121" s="29"/>
      <c r="N121" s="29"/>
      <c r="O121" s="49">
        <f>SUM(O108:O120)</f>
        <v>0</v>
      </c>
      <c r="P121" s="52">
        <f>SUM(P108:P120)</f>
        <v>0</v>
      </c>
      <c r="Q121" s="52">
        <f>SUM(Q108:Q120)</f>
        <v>0</v>
      </c>
      <c r="R121" s="52"/>
      <c r="S121" s="29"/>
      <c r="U121" s="49">
        <f>SUM(U108:U120)</f>
        <v>0</v>
      </c>
      <c r="W121" s="49">
        <f>SUM(W108:W120)</f>
        <v>0</v>
      </c>
      <c r="Y121" s="93"/>
    </row>
    <row r="122" spans="1:25" x14ac:dyDescent="0.2">
      <c r="N122" s="40" t="s">
        <v>148</v>
      </c>
      <c r="O122" s="50">
        <f>ROUND(H12/9,2)</f>
        <v>0</v>
      </c>
      <c r="P122" s="50"/>
      <c r="Q122" s="50"/>
      <c r="R122" s="50"/>
      <c r="Y122" s="93"/>
    </row>
    <row r="123" spans="1:25" x14ac:dyDescent="0.2">
      <c r="N123" s="40" t="s">
        <v>159</v>
      </c>
      <c r="O123" s="50">
        <f>M12</f>
        <v>0</v>
      </c>
      <c r="P123" s="50"/>
      <c r="Q123" s="50"/>
      <c r="R123" s="50"/>
      <c r="Y123" s="93"/>
    </row>
    <row r="124" spans="1:25" x14ac:dyDescent="0.2">
      <c r="N124" s="40" t="s">
        <v>160</v>
      </c>
      <c r="O124" s="50">
        <f>O121-O123</f>
        <v>0</v>
      </c>
      <c r="P124" s="50"/>
      <c r="Q124" s="50"/>
      <c r="R124" s="50"/>
      <c r="Y124" s="93"/>
    </row>
    <row r="125" spans="1:25" x14ac:dyDescent="0.2">
      <c r="N125" s="40"/>
      <c r="O125" s="50"/>
      <c r="P125" s="50"/>
      <c r="Q125" s="50"/>
      <c r="R125" s="50"/>
      <c r="Y125" s="93"/>
    </row>
    <row r="126" spans="1:25" x14ac:dyDescent="0.2">
      <c r="N126" s="40" t="s">
        <v>154</v>
      </c>
      <c r="O126" s="50">
        <f>P121*3</f>
        <v>0</v>
      </c>
      <c r="P126" s="50"/>
      <c r="Q126" s="50"/>
      <c r="R126" s="50"/>
      <c r="Y126" s="93"/>
    </row>
    <row r="127" spans="1:25" x14ac:dyDescent="0.2">
      <c r="Y127" s="93"/>
    </row>
    <row r="128" spans="1:25" x14ac:dyDescent="0.2">
      <c r="A128" s="16" t="s">
        <v>157</v>
      </c>
      <c r="Y128" s="93"/>
    </row>
    <row r="129" spans="1:25" x14ac:dyDescent="0.2">
      <c r="A129" s="244" t="s">
        <v>161</v>
      </c>
      <c r="B129" s="244"/>
      <c r="C129" s="244"/>
      <c r="D129" s="244"/>
      <c r="E129" s="244"/>
      <c r="F129" s="244"/>
      <c r="G129" s="244"/>
      <c r="H129" s="244"/>
      <c r="I129" s="244"/>
      <c r="J129" s="244"/>
      <c r="K129" s="244"/>
      <c r="L129" s="244"/>
      <c r="M129" s="244"/>
      <c r="N129" s="244"/>
      <c r="O129" s="244"/>
      <c r="Y129" s="93"/>
    </row>
    <row r="130" spans="1:25" x14ac:dyDescent="0.2">
      <c r="A130" s="29" t="s">
        <v>70</v>
      </c>
      <c r="B130" s="29" t="s">
        <v>71</v>
      </c>
      <c r="C130" s="29" t="s">
        <v>72</v>
      </c>
      <c r="D130" s="29"/>
      <c r="E130" s="29"/>
      <c r="F130" s="29" t="s">
        <v>80</v>
      </c>
      <c r="G130" s="29"/>
      <c r="H130" s="43" t="s">
        <v>73</v>
      </c>
      <c r="I130" s="43" t="s">
        <v>74</v>
      </c>
      <c r="J130" s="43" t="s">
        <v>95</v>
      </c>
      <c r="K130" s="43" t="s">
        <v>76</v>
      </c>
      <c r="L130" s="43" t="s">
        <v>75</v>
      </c>
      <c r="M130" s="43"/>
      <c r="N130" s="43"/>
      <c r="O130" s="43" t="s">
        <v>78</v>
      </c>
      <c r="P130" s="43"/>
      <c r="Q130" s="43"/>
      <c r="R130" s="43"/>
      <c r="S130" s="43" t="s">
        <v>112</v>
      </c>
      <c r="U130" s="43" t="s">
        <v>105</v>
      </c>
      <c r="W130" s="43" t="s">
        <v>106</v>
      </c>
      <c r="Y130" s="93"/>
    </row>
    <row r="131" spans="1:25" s="23" customFormat="1" ht="9" customHeight="1" x14ac:dyDescent="0.2">
      <c r="H131" s="48"/>
      <c r="I131" s="48"/>
      <c r="J131" s="48"/>
      <c r="K131" s="48"/>
      <c r="L131" s="48"/>
      <c r="M131" s="48"/>
      <c r="N131" s="48"/>
      <c r="O131" s="48"/>
      <c r="P131" s="48"/>
      <c r="Q131" s="48"/>
      <c r="R131" s="48"/>
      <c r="U131" s="48"/>
      <c r="Y131" s="93"/>
    </row>
    <row r="132" spans="1:25" x14ac:dyDescent="0.2">
      <c r="A132" s="45"/>
      <c r="B132" s="45"/>
      <c r="C132" s="233"/>
      <c r="D132" s="233"/>
      <c r="E132" s="233"/>
      <c r="F132" s="233"/>
      <c r="G132" s="233"/>
      <c r="H132" s="46"/>
      <c r="I132" s="46"/>
      <c r="J132" s="41" t="str">
        <f>IF(H132="","",DATEDIF(H132,I132,"m")+1)</f>
        <v/>
      </c>
      <c r="K132" s="51"/>
      <c r="L132" s="70"/>
      <c r="M132" s="47"/>
      <c r="N132" s="47"/>
      <c r="O132" s="47" t="str">
        <f t="shared" ref="O132:O138" si="57">IF(ISERROR(J132*K132*L132),"",IF(AND(M132="",N132=""),J132*ROUND(K132*L132,2),IF(N132="",J132*ROUND(K132*M132,2),J132*N132)))</f>
        <v/>
      </c>
      <c r="P132" s="47"/>
      <c r="Q132" s="47"/>
      <c r="R132" s="47"/>
      <c r="U132" s="47" t="str">
        <f t="shared" ref="U132:U138" si="58">IF(O132="","",ROUND(O132*$V$25,2))</f>
        <v/>
      </c>
      <c r="W132" s="47" t="str">
        <f>IF(O132="","",O132+U132)</f>
        <v/>
      </c>
      <c r="Y132" s="93"/>
    </row>
    <row r="133" spans="1:25" x14ac:dyDescent="0.2">
      <c r="A133" s="45"/>
      <c r="B133" s="45"/>
      <c r="C133" s="233"/>
      <c r="D133" s="233"/>
      <c r="E133" s="233"/>
      <c r="F133" s="233"/>
      <c r="G133" s="233"/>
      <c r="H133" s="46"/>
      <c r="I133" s="46"/>
      <c r="J133" s="41" t="str">
        <f>IF(H133="","",DATEDIF(H133,I133,"m")+1)</f>
        <v/>
      </c>
      <c r="K133" s="51"/>
      <c r="L133" s="70"/>
      <c r="M133" s="47"/>
      <c r="N133" s="47"/>
      <c r="O133" s="47" t="str">
        <f t="shared" si="57"/>
        <v/>
      </c>
      <c r="P133" s="47"/>
      <c r="Q133" s="47"/>
      <c r="R133" s="47"/>
      <c r="U133" s="47" t="str">
        <f t="shared" si="58"/>
        <v/>
      </c>
      <c r="W133" s="47" t="str">
        <f t="shared" ref="W133:W138" si="59">IF(O133="","",O133+U133)</f>
        <v/>
      </c>
      <c r="Y133" s="93"/>
    </row>
    <row r="134" spans="1:25" x14ac:dyDescent="0.2">
      <c r="A134" s="45"/>
      <c r="B134" s="45"/>
      <c r="C134" s="233"/>
      <c r="D134" s="233"/>
      <c r="E134" s="233"/>
      <c r="F134" s="233"/>
      <c r="G134" s="233"/>
      <c r="H134" s="46"/>
      <c r="I134" s="46"/>
      <c r="J134" s="41" t="str">
        <f t="shared" ref="J134:J138" si="60">IF(H134="","",DATEDIF(H134,I134,"m")+1)</f>
        <v/>
      </c>
      <c r="K134" s="51"/>
      <c r="L134" s="70"/>
      <c r="N134" s="47"/>
      <c r="O134" s="47" t="str">
        <f t="shared" si="57"/>
        <v/>
      </c>
      <c r="P134" s="47"/>
      <c r="Q134" s="47"/>
      <c r="R134" s="47"/>
      <c r="U134" s="47" t="str">
        <f t="shared" si="58"/>
        <v/>
      </c>
      <c r="W134" s="47" t="str">
        <f t="shared" si="59"/>
        <v/>
      </c>
      <c r="Y134" s="93"/>
    </row>
    <row r="135" spans="1:25" x14ac:dyDescent="0.2">
      <c r="A135" s="45"/>
      <c r="B135" s="45"/>
      <c r="C135" s="233"/>
      <c r="D135" s="233"/>
      <c r="E135" s="233"/>
      <c r="F135" s="233"/>
      <c r="G135" s="233"/>
      <c r="H135" s="46"/>
      <c r="I135" s="46"/>
      <c r="J135" s="41" t="str">
        <f t="shared" si="60"/>
        <v/>
      </c>
      <c r="K135" s="51"/>
      <c r="L135" s="70"/>
      <c r="N135" s="47"/>
      <c r="O135" s="47" t="str">
        <f t="shared" si="57"/>
        <v/>
      </c>
      <c r="P135" s="47"/>
      <c r="Q135" s="47"/>
      <c r="R135" s="47"/>
      <c r="U135" s="47" t="str">
        <f t="shared" si="58"/>
        <v/>
      </c>
      <c r="W135" s="47" t="str">
        <f t="shared" si="59"/>
        <v/>
      </c>
      <c r="Y135" s="93"/>
    </row>
    <row r="136" spans="1:25" hidden="1" x14ac:dyDescent="0.2">
      <c r="A136" s="45"/>
      <c r="B136" s="45"/>
      <c r="C136" s="233"/>
      <c r="D136" s="233"/>
      <c r="E136" s="233"/>
      <c r="F136" s="233"/>
      <c r="G136" s="233"/>
      <c r="H136" s="46"/>
      <c r="I136" s="46"/>
      <c r="J136" s="41" t="str">
        <f t="shared" si="60"/>
        <v/>
      </c>
      <c r="K136" s="51"/>
      <c r="L136" s="70"/>
      <c r="N136" s="47"/>
      <c r="O136" s="47" t="str">
        <f t="shared" si="57"/>
        <v/>
      </c>
      <c r="P136" s="47"/>
      <c r="Q136" s="47"/>
      <c r="R136" s="47"/>
      <c r="U136" s="47" t="str">
        <f t="shared" si="58"/>
        <v/>
      </c>
      <c r="W136" s="47" t="str">
        <f t="shared" si="59"/>
        <v/>
      </c>
      <c r="Y136" s="93"/>
    </row>
    <row r="137" spans="1:25" hidden="1" x14ac:dyDescent="0.2">
      <c r="A137" s="45"/>
      <c r="B137" s="45"/>
      <c r="C137" s="233"/>
      <c r="D137" s="233"/>
      <c r="E137" s="233"/>
      <c r="F137" s="233"/>
      <c r="G137" s="233"/>
      <c r="H137" s="46"/>
      <c r="I137" s="46"/>
      <c r="J137" s="41" t="str">
        <f t="shared" si="60"/>
        <v/>
      </c>
      <c r="K137" s="51"/>
      <c r="L137" s="70"/>
      <c r="N137" s="47"/>
      <c r="O137" s="47" t="str">
        <f t="shared" si="57"/>
        <v/>
      </c>
      <c r="P137" s="47"/>
      <c r="Q137" s="47"/>
      <c r="R137" s="47"/>
      <c r="U137" s="47" t="str">
        <f t="shared" si="58"/>
        <v/>
      </c>
      <c r="W137" s="47" t="str">
        <f t="shared" si="59"/>
        <v/>
      </c>
      <c r="Y137" s="93"/>
    </row>
    <row r="138" spans="1:25" hidden="1" x14ac:dyDescent="0.2">
      <c r="A138" s="45"/>
      <c r="B138" s="45"/>
      <c r="C138" s="233"/>
      <c r="D138" s="233"/>
      <c r="E138" s="233"/>
      <c r="F138" s="233"/>
      <c r="G138" s="233"/>
      <c r="H138" s="46"/>
      <c r="I138" s="46"/>
      <c r="J138" s="41" t="str">
        <f t="shared" si="60"/>
        <v/>
      </c>
      <c r="K138" s="51"/>
      <c r="L138" s="70"/>
      <c r="N138" s="47"/>
      <c r="O138" s="47" t="str">
        <f t="shared" si="57"/>
        <v/>
      </c>
      <c r="P138" s="47"/>
      <c r="Q138" s="47"/>
      <c r="R138" s="47"/>
      <c r="U138" s="47" t="str">
        <f t="shared" si="58"/>
        <v/>
      </c>
      <c r="W138" s="47" t="str">
        <f t="shared" si="59"/>
        <v/>
      </c>
      <c r="Y138" s="93"/>
    </row>
    <row r="139" spans="1:25" x14ac:dyDescent="0.2">
      <c r="A139" s="29"/>
      <c r="B139" s="29"/>
      <c r="C139" s="29"/>
      <c r="D139" s="29"/>
      <c r="E139" s="29"/>
      <c r="F139" s="29"/>
      <c r="G139" s="29"/>
      <c r="H139" s="29"/>
      <c r="I139" s="29"/>
      <c r="J139" s="29"/>
      <c r="K139" s="52"/>
      <c r="L139" s="49"/>
      <c r="M139" s="29"/>
      <c r="N139" s="29"/>
      <c r="O139" s="49">
        <f>SUM(O132:O138)</f>
        <v>0</v>
      </c>
      <c r="P139" s="49"/>
      <c r="Q139" s="49"/>
      <c r="R139" s="49"/>
      <c r="S139" s="29"/>
      <c r="U139" s="49">
        <f>SUM(U132:U138)</f>
        <v>0</v>
      </c>
      <c r="W139" s="49">
        <f>SUM(W132:W138)</f>
        <v>0</v>
      </c>
      <c r="Y139" s="93"/>
    </row>
    <row r="140" spans="1:25" x14ac:dyDescent="0.2">
      <c r="N140" s="40" t="s">
        <v>91</v>
      </c>
      <c r="O140" s="50">
        <f>N12</f>
        <v>0</v>
      </c>
      <c r="P140" s="50"/>
      <c r="Q140" s="50"/>
      <c r="R140" s="50"/>
      <c r="Y140" s="93"/>
    </row>
    <row r="141" spans="1:25" x14ac:dyDescent="0.2">
      <c r="N141" s="40" t="s">
        <v>160</v>
      </c>
      <c r="O141" s="50">
        <f>O140-O139</f>
        <v>0</v>
      </c>
      <c r="P141" s="50"/>
      <c r="Q141" s="50"/>
      <c r="R141" s="50"/>
      <c r="Y141" s="93"/>
    </row>
    <row r="142" spans="1:25" x14ac:dyDescent="0.2">
      <c r="Y142" s="93"/>
    </row>
    <row r="143" spans="1:25" x14ac:dyDescent="0.2">
      <c r="U143" s="40" t="s">
        <v>114</v>
      </c>
      <c r="W143" s="40" t="s">
        <v>115</v>
      </c>
      <c r="Y143" s="93"/>
    </row>
    <row r="144" spans="1:25" x14ac:dyDescent="0.2">
      <c r="N144" s="40" t="s">
        <v>107</v>
      </c>
      <c r="O144" s="50">
        <f>O39+O58+O91+O121+O139</f>
        <v>0</v>
      </c>
      <c r="P144" s="50"/>
      <c r="Q144" s="50"/>
      <c r="R144" s="50"/>
      <c r="U144" s="50">
        <f>U39+U58+U91+U121+U139</f>
        <v>0</v>
      </c>
      <c r="W144" s="50">
        <f>W39+W58+W91+W121+W139</f>
        <v>0</v>
      </c>
      <c r="Y144" s="93"/>
    </row>
    <row r="145" spans="14:25" x14ac:dyDescent="0.2">
      <c r="N145" s="40" t="s">
        <v>108</v>
      </c>
      <c r="O145" s="69">
        <f>O144-O12</f>
        <v>0</v>
      </c>
      <c r="P145" s="69"/>
      <c r="Q145" s="69"/>
      <c r="R145" s="69"/>
      <c r="Y145" s="93"/>
    </row>
    <row r="146" spans="14:25" x14ac:dyDescent="0.2">
      <c r="Y146" s="93"/>
    </row>
    <row r="147" spans="14:25" x14ac:dyDescent="0.2">
      <c r="Y147" s="93"/>
    </row>
    <row r="148" spans="14:25" x14ac:dyDescent="0.2">
      <c r="N148" s="40" t="s">
        <v>109</v>
      </c>
      <c r="O148" s="50">
        <f>O39+O139</f>
        <v>0</v>
      </c>
      <c r="P148" s="47"/>
      <c r="Q148" s="47"/>
      <c r="R148" s="47"/>
      <c r="Y148" s="93"/>
    </row>
    <row r="149" spans="14:25" x14ac:dyDescent="0.2">
      <c r="N149" s="40" t="s">
        <v>110</v>
      </c>
      <c r="O149" s="50">
        <f>O58+O91+O121</f>
        <v>0</v>
      </c>
      <c r="P149" s="47"/>
      <c r="Q149" s="47"/>
      <c r="R149" s="47"/>
      <c r="Y149" s="93"/>
    </row>
    <row r="150" spans="14:25" x14ac:dyDescent="0.2">
      <c r="N150" s="40"/>
      <c r="O150" s="50"/>
      <c r="P150" s="47"/>
      <c r="Q150" s="47"/>
      <c r="R150" s="47"/>
      <c r="Y150" s="93"/>
    </row>
    <row r="151" spans="14:25" x14ac:dyDescent="0.2">
      <c r="N151" s="40"/>
      <c r="O151" s="50"/>
      <c r="P151" s="47"/>
      <c r="Q151" s="47"/>
      <c r="R151" s="47"/>
      <c r="Y151" s="93"/>
    </row>
    <row r="152" spans="14:25" x14ac:dyDescent="0.2">
      <c r="N152" s="40" t="s">
        <v>113</v>
      </c>
      <c r="O152" s="50">
        <f>O148+U39+U139</f>
        <v>0</v>
      </c>
      <c r="P152" s="47"/>
      <c r="Q152" s="47"/>
      <c r="R152" s="47"/>
      <c r="Y152" s="93"/>
    </row>
    <row r="153" spans="14:25" x14ac:dyDescent="0.2">
      <c r="N153" s="40" t="s">
        <v>111</v>
      </c>
      <c r="O153" s="50">
        <f>O149+U58+U91+U121</f>
        <v>0</v>
      </c>
      <c r="P153" s="47"/>
      <c r="Q153" s="47"/>
      <c r="R153" s="47"/>
      <c r="Y153" s="93"/>
    </row>
    <row r="154" spans="14:25" x14ac:dyDescent="0.2">
      <c r="N154" s="40"/>
      <c r="O154" s="47"/>
      <c r="P154" s="47"/>
      <c r="Q154" s="47"/>
      <c r="R154" s="47"/>
      <c r="Y154" s="93"/>
    </row>
    <row r="155" spans="14:25" x14ac:dyDescent="0.2">
      <c r="N155" s="40"/>
      <c r="O155" s="47"/>
      <c r="P155" s="47"/>
      <c r="Q155" s="47"/>
      <c r="R155" s="47"/>
      <c r="Y155" s="93"/>
    </row>
    <row r="156" spans="14:25" x14ac:dyDescent="0.2">
      <c r="Y156" s="93"/>
    </row>
  </sheetData>
  <dataConsolidate/>
  <mergeCells count="113">
    <mergeCell ref="B73:O73"/>
    <mergeCell ref="B104:O104"/>
    <mergeCell ref="A129:O129"/>
    <mergeCell ref="C110:E110"/>
    <mergeCell ref="F110:G110"/>
    <mergeCell ref="C86:E86"/>
    <mergeCell ref="F86:G86"/>
    <mergeCell ref="C87:E87"/>
    <mergeCell ref="F87:G87"/>
    <mergeCell ref="C88:E88"/>
    <mergeCell ref="F88:G88"/>
    <mergeCell ref="C119:E119"/>
    <mergeCell ref="F119:G119"/>
    <mergeCell ref="C120:E120"/>
    <mergeCell ref="F120:G120"/>
    <mergeCell ref="C114:E114"/>
    <mergeCell ref="F114:G114"/>
    <mergeCell ref="C115:E115"/>
    <mergeCell ref="F115:G115"/>
    <mergeCell ref="C116:E116"/>
    <mergeCell ref="F116:G116"/>
    <mergeCell ref="C117:E117"/>
    <mergeCell ref="F117:G117"/>
    <mergeCell ref="C118:E118"/>
    <mergeCell ref="F118:G118"/>
    <mergeCell ref="C109:E109"/>
    <mergeCell ref="C81:E81"/>
    <mergeCell ref="F81:G81"/>
    <mergeCell ref="C82:E82"/>
    <mergeCell ref="F82:G82"/>
    <mergeCell ref="C138:E138"/>
    <mergeCell ref="F138:G138"/>
    <mergeCell ref="C83:E83"/>
    <mergeCell ref="F83:G83"/>
    <mergeCell ref="C84:E84"/>
    <mergeCell ref="F84:G84"/>
    <mergeCell ref="C135:E135"/>
    <mergeCell ref="F135:G135"/>
    <mergeCell ref="C136:E136"/>
    <mergeCell ref="F136:G136"/>
    <mergeCell ref="C137:E137"/>
    <mergeCell ref="F137:G137"/>
    <mergeCell ref="C132:E132"/>
    <mergeCell ref="F132:G132"/>
    <mergeCell ref="C133:E133"/>
    <mergeCell ref="F133:G133"/>
    <mergeCell ref="C134:E134"/>
    <mergeCell ref="F134:G134"/>
    <mergeCell ref="C113:E113"/>
    <mergeCell ref="F113:G113"/>
    <mergeCell ref="F109:G109"/>
    <mergeCell ref="C90:E90"/>
    <mergeCell ref="F90:G90"/>
    <mergeCell ref="C108:E108"/>
    <mergeCell ref="F108:G108"/>
    <mergeCell ref="C85:E85"/>
    <mergeCell ref="F85:G85"/>
    <mergeCell ref="C89:E89"/>
    <mergeCell ref="F89:G89"/>
    <mergeCell ref="A101:O101"/>
    <mergeCell ref="A102:O102"/>
    <mergeCell ref="F111:G111"/>
    <mergeCell ref="F112:G112"/>
    <mergeCell ref="C80:E80"/>
    <mergeCell ref="F80:G80"/>
    <mergeCell ref="C79:E79"/>
    <mergeCell ref="F79:G79"/>
    <mergeCell ref="C77:E77"/>
    <mergeCell ref="F77:G77"/>
    <mergeCell ref="C78:E78"/>
    <mergeCell ref="F78:G78"/>
    <mergeCell ref="B5:G5"/>
    <mergeCell ref="C33:E33"/>
    <mergeCell ref="F33:G33"/>
    <mergeCell ref="C34:E34"/>
    <mergeCell ref="F34:G34"/>
    <mergeCell ref="C35:E35"/>
    <mergeCell ref="F35:G35"/>
    <mergeCell ref="F53:G53"/>
    <mergeCell ref="C36:E36"/>
    <mergeCell ref="F36:G36"/>
    <mergeCell ref="C37:E37"/>
    <mergeCell ref="F37:G37"/>
    <mergeCell ref="C38:E38"/>
    <mergeCell ref="F38:G38"/>
    <mergeCell ref="A45:O45"/>
    <mergeCell ref="A71:O71"/>
    <mergeCell ref="K5:O5"/>
    <mergeCell ref="B7:G7"/>
    <mergeCell ref="K7:O7"/>
    <mergeCell ref="J11:K11"/>
    <mergeCell ref="J14:K14"/>
    <mergeCell ref="B12:C12"/>
    <mergeCell ref="C32:E32"/>
    <mergeCell ref="F32:G32"/>
    <mergeCell ref="J12:K12"/>
    <mergeCell ref="A26:O26"/>
    <mergeCell ref="B28:O28"/>
    <mergeCell ref="U21:V21"/>
    <mergeCell ref="C54:E54"/>
    <mergeCell ref="F54:G54"/>
    <mergeCell ref="C57:E57"/>
    <mergeCell ref="F57:G57"/>
    <mergeCell ref="C55:E55"/>
    <mergeCell ref="F55:G55"/>
    <mergeCell ref="C56:E56"/>
    <mergeCell ref="F56:G56"/>
    <mergeCell ref="C51:E51"/>
    <mergeCell ref="F51:G51"/>
    <mergeCell ref="C52:E52"/>
    <mergeCell ref="F52:G52"/>
    <mergeCell ref="C53:E53"/>
    <mergeCell ref="B47:O47"/>
  </mergeCells>
  <conditionalFormatting sqref="L78">
    <cfRule type="expression" dxfId="13" priority="21">
      <formula>OR(M78&gt;0,N78&gt;0)</formula>
    </cfRule>
  </conditionalFormatting>
  <conditionalFormatting sqref="L79">
    <cfRule type="expression" dxfId="12" priority="20">
      <formula>OR(M79&gt;0,N79&gt;0)</formula>
    </cfRule>
  </conditionalFormatting>
  <conditionalFormatting sqref="L80">
    <cfRule type="expression" dxfId="11" priority="19">
      <formula>OR(M80&gt;0,N80&gt;0)</formula>
    </cfRule>
  </conditionalFormatting>
  <conditionalFormatting sqref="L77">
    <cfRule type="expression" dxfId="10" priority="18">
      <formula>OR(M77&gt;0,N77&gt;0)</formula>
    </cfRule>
  </conditionalFormatting>
  <conditionalFormatting sqref="L108:L109 L111:L113 L119:L120">
    <cfRule type="expression" dxfId="9" priority="17">
      <formula>OR(M108&gt;0,N108&gt;0)</formula>
    </cfRule>
  </conditionalFormatting>
  <conditionalFormatting sqref="L51:L57">
    <cfRule type="expression" dxfId="8" priority="16">
      <formula>OR(M51&gt;0,N51&gt;0)</formula>
    </cfRule>
  </conditionalFormatting>
  <conditionalFormatting sqref="L32:L38">
    <cfRule type="expression" dxfId="7" priority="15">
      <formula>OR(M32&gt;0,N32&gt;0)</formula>
    </cfRule>
  </conditionalFormatting>
  <conditionalFormatting sqref="L132:L138">
    <cfRule type="expression" dxfId="6" priority="13">
      <formula>OR(M132&gt;0,N132&gt;0)</formula>
    </cfRule>
  </conditionalFormatting>
  <conditionalFormatting sqref="L110">
    <cfRule type="expression" dxfId="5" priority="12">
      <formula>OR(M110&gt;0,N110&gt;0)</formula>
    </cfRule>
  </conditionalFormatting>
  <conditionalFormatting sqref="L114">
    <cfRule type="expression" dxfId="4" priority="11">
      <formula>OR(M114&gt;0,N114&gt;0)</formula>
    </cfRule>
  </conditionalFormatting>
  <conditionalFormatting sqref="L115">
    <cfRule type="expression" dxfId="3" priority="10">
      <formula>OR(M115&gt;0,N115&gt;0)</formula>
    </cfRule>
  </conditionalFormatting>
  <conditionalFormatting sqref="L116">
    <cfRule type="expression" dxfId="2" priority="9">
      <formula>OR(M116&gt;0,N116&gt;0)</formula>
    </cfRule>
  </conditionalFormatting>
  <conditionalFormatting sqref="L117">
    <cfRule type="expression" dxfId="1" priority="8">
      <formula>OR(M117&gt;0,N117&gt;0)</formula>
    </cfRule>
  </conditionalFormatting>
  <conditionalFormatting sqref="L118">
    <cfRule type="expression" dxfId="0" priority="7">
      <formula>OR(M118&gt;0,N118&gt;0)</formula>
    </cfRule>
  </conditionalFormatting>
  <dataValidations count="9">
    <dataValidation type="list" errorStyle="warning" allowBlank="1" showInputMessage="1" showErrorMessage="1" errorTitle="Warning" error="You have entered a type not on our list" promptTitle="Fund Source" prompt="Please enter funding type" sqref="H2:H4 H22:H23">
      <formula1>$O$1:$O$5</formula1>
    </dataValidation>
    <dataValidation allowBlank="1" showInputMessage="1" promptTitle="Salary Cap Rate" prompt="Enter the salary cap rate only if the fund source has a cap.  Otherwise leave blank." sqref="N77:N90 N51:N57 N132:N138 N108:N120"/>
    <dataValidation type="decimal" allowBlank="1" showInputMessage="1" showErrorMessage="1" promptTitle="Benefits Rates" prompt="Enter the projected benefits rate for this salary component." sqref="V22:V25">
      <formula1>0</formula1>
      <formula2>1</formula2>
    </dataValidation>
    <dataValidation type="date" allowBlank="1" showInputMessage="1" showErrorMessage="1" errorTitle="Error" error="Date must be in FY 15/16" promptTitle="Start Date" prompt="Please enter start date of funding" sqref="H117:H120 H136:H138 H87:H90">
      <formula1>42186</formula1>
      <formula2>42551</formula2>
    </dataValidation>
    <dataValidation type="date" allowBlank="1" showInputMessage="1" showErrorMessage="1" errorTitle="Error" error="Date must be in FY 15/16" promptTitle="End Date" prompt="Please enter end date of funding" sqref="I117:I120 I136:I138 I87:I90">
      <formula1>42186</formula1>
      <formula2>42551</formula2>
    </dataValidation>
    <dataValidation type="date" allowBlank="1" showInputMessage="1" showErrorMessage="1" errorTitle="Error" error="Date must be in FY 17/18" promptTitle="Start Date" prompt="Please enter start date of funding" sqref="H135">
      <formula1>42917</formula1>
      <formula2>43281</formula2>
    </dataValidation>
    <dataValidation type="date" allowBlank="1" showInputMessage="1" showErrorMessage="1" errorTitle="Error" error="Date must be in FY 17/18" promptTitle="End Date" prompt="Please enter end date of funding" sqref="I135">
      <formula1>42917</formula1>
      <formula2>43281</formula2>
    </dataValidation>
    <dataValidation type="date" allowBlank="1" showInputMessage="1" showErrorMessage="1" errorTitle="Error" error="Date must be in FY 17/18" promptTitle="Start Date" prompt="Please enter start date of funding" sqref="H32 H33 H34 H35 H36 H37 H38 H51 H52 H53 H54 H55 H56 H57 H77 H78 H79 H80 H81 H82 H83 H84 H85 H86 H108 H109 H110 H111 H112 H113 H114 H115 H116 H132 H133 H134">
      <formula1>42917</formula1>
      <formula2>43281</formula2>
    </dataValidation>
    <dataValidation type="date" allowBlank="1" showInputMessage="1" showErrorMessage="1" errorTitle="Error" error="Date must be in FY 17/18" promptTitle="End Date" prompt="Please enter end date of funding" sqref="I32 I33 I34 I35 I36 I37 I38 I51 I52 I53 I54 I55 I56 I57 I77 I78 I79 I80 I81 I82 I83 I84 I85 I86 I108 I109 I110 I111 I112 I113 I114 I115 I116 I132 I133 I134">
      <formula1>42917</formula1>
      <formula2>43281</formula2>
    </dataValidation>
  </dataValidations>
  <pageMargins left="0.25" right="0.25" top="0.75" bottom="0.5" header="0.3" footer="0.3"/>
  <pageSetup scale="64" fitToHeight="0" orientation="portrait" r:id="rId1"/>
  <rowBreaks count="1" manualBreakCount="1">
    <brk id="69" max="16383" man="1"/>
  </rowBreaks>
  <drawing r:id="rId2"/>
  <extLst>
    <ext xmlns:x14="http://schemas.microsoft.com/office/spreadsheetml/2009/9/main" uri="{CCE6A557-97BC-4b89-ADB6-D9C93CAAB3DF}">
      <x14:dataValidations xmlns:xm="http://schemas.microsoft.com/office/excel/2006/main" count="5">
        <x14:dataValidation type="list" errorStyle="warning" allowBlank="1" showInputMessage="1" showErrorMessage="1" error="Is division correct?" promptTitle="Division/School" prompt="Please enter division(s) and/or school(s) for appointment(s)">
          <x14:formula1>
            <xm:f>DropDown!$D$2:$D$11</xm:f>
          </x14:formula1>
          <xm:sqref>P7:R7</xm:sqref>
        </x14:dataValidation>
        <x14:dataValidation type="list" errorStyle="warning" allowBlank="1" showInputMessage="1" showErrorMessage="1" error="Please check fund type!" promptTitle="Covered Comp Fund Type" prompt="Please enter fund type">
          <x14:formula1>
            <xm:f>DropDown!$E$3:$E$14</xm:f>
          </x14:formula1>
          <xm:sqref>F32:F38 F51:F57 F132:F138</xm:sqref>
        </x14:dataValidation>
        <x14:dataValidation type="list" errorStyle="warning" allowBlank="1" showInputMessage="1" showErrorMessage="1" error="Please check fund type!" promptTitle="Negotiated Salary Fund Type" prompt="Please enter fund type">
          <x14:formula1>
            <xm:f>DropDown!$F$3:$F$12</xm:f>
          </x14:formula1>
          <xm:sqref>F117:G120</xm:sqref>
        </x14:dataValidation>
        <x14:dataValidation type="list" errorStyle="warning" allowBlank="1" showInputMessage="1" showErrorMessage="1" error="Please check fund type!" promptTitle="Negotiated Salary Fund Type" prompt="Please enter fund type.  General funds and student tuition funds are not allowed.">
          <x14:formula1>
            <xm:f>DropDown!$F$3:$F$12</xm:f>
          </x14:formula1>
          <xm:sqref>F77:G90</xm:sqref>
        </x14:dataValidation>
        <x14:dataValidation type="list" errorStyle="warning" allowBlank="1" showInputMessage="1" showErrorMessage="1" error="Please check fund type!" promptTitle="Summer Salary Fund Type" prompt="Please enter fund type">
          <x14:formula1>
            <xm:f>DropDown!$E$3:$E$14</xm:f>
          </x14:formula1>
          <xm:sqref>F108:G116</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H14"/>
  <sheetViews>
    <sheetView workbookViewId="0">
      <selection activeCell="H3" sqref="H3:H5"/>
    </sheetView>
  </sheetViews>
  <sheetFormatPr baseColWidth="10" defaultColWidth="8.83203125" defaultRowHeight="15" x14ac:dyDescent="0.2"/>
  <cols>
    <col min="1" max="1" width="18.5" bestFit="1" customWidth="1"/>
    <col min="4" max="4" width="37.1640625" bestFit="1" customWidth="1"/>
    <col min="5" max="5" width="26" customWidth="1"/>
    <col min="6" max="6" width="26" bestFit="1" customWidth="1"/>
    <col min="7" max="7" width="26.33203125" customWidth="1"/>
    <col min="8" max="8" width="21.83203125" customWidth="1"/>
  </cols>
  <sheetData>
    <row r="2" spans="1:8" x14ac:dyDescent="0.2">
      <c r="A2" t="s">
        <v>49</v>
      </c>
      <c r="B2" t="s">
        <v>45</v>
      </c>
      <c r="C2" t="s">
        <v>60</v>
      </c>
      <c r="D2" t="s">
        <v>62</v>
      </c>
      <c r="E2" t="s">
        <v>88</v>
      </c>
      <c r="F2" t="s">
        <v>90</v>
      </c>
      <c r="G2" t="s">
        <v>241</v>
      </c>
      <c r="H2" t="s">
        <v>242</v>
      </c>
    </row>
    <row r="3" spans="1:8" x14ac:dyDescent="0.2">
      <c r="A3" t="s">
        <v>48</v>
      </c>
      <c r="B3" t="s">
        <v>50</v>
      </c>
      <c r="C3" t="s">
        <v>60</v>
      </c>
      <c r="D3" t="s">
        <v>63</v>
      </c>
      <c r="E3" t="s">
        <v>87</v>
      </c>
      <c r="F3" t="s">
        <v>1</v>
      </c>
      <c r="G3" t="s">
        <v>219</v>
      </c>
      <c r="H3" t="s">
        <v>220</v>
      </c>
    </row>
    <row r="4" spans="1:8" x14ac:dyDescent="0.2">
      <c r="A4" t="s">
        <v>47</v>
      </c>
      <c r="B4" t="s">
        <v>51</v>
      </c>
      <c r="D4" t="s">
        <v>64</v>
      </c>
      <c r="E4" t="s">
        <v>89</v>
      </c>
      <c r="F4" t="s">
        <v>0</v>
      </c>
      <c r="G4" t="s">
        <v>217</v>
      </c>
      <c r="H4" t="s">
        <v>221</v>
      </c>
    </row>
    <row r="5" spans="1:8" x14ac:dyDescent="0.2">
      <c r="A5" t="s">
        <v>46</v>
      </c>
      <c r="B5" t="s">
        <v>52</v>
      </c>
      <c r="D5" t="s">
        <v>65</v>
      </c>
      <c r="E5" t="s">
        <v>1</v>
      </c>
      <c r="F5" t="s">
        <v>84</v>
      </c>
      <c r="G5" t="s">
        <v>218</v>
      </c>
      <c r="H5" t="s">
        <v>222</v>
      </c>
    </row>
    <row r="6" spans="1:8" x14ac:dyDescent="0.2">
      <c r="B6" t="s">
        <v>53</v>
      </c>
      <c r="D6" t="s">
        <v>66</v>
      </c>
      <c r="E6" t="s">
        <v>0</v>
      </c>
      <c r="F6" t="s">
        <v>85</v>
      </c>
    </row>
    <row r="7" spans="1:8" x14ac:dyDescent="0.2">
      <c r="B7" t="s">
        <v>54</v>
      </c>
      <c r="D7" t="s">
        <v>39</v>
      </c>
      <c r="E7" t="s">
        <v>84</v>
      </c>
      <c r="F7" t="s">
        <v>86</v>
      </c>
    </row>
    <row r="8" spans="1:8" x14ac:dyDescent="0.2">
      <c r="B8" t="s">
        <v>55</v>
      </c>
      <c r="D8" t="s">
        <v>69</v>
      </c>
      <c r="E8" t="s">
        <v>85</v>
      </c>
      <c r="F8" t="s">
        <v>81</v>
      </c>
    </row>
    <row r="9" spans="1:8" x14ac:dyDescent="0.2">
      <c r="B9" t="s">
        <v>56</v>
      </c>
      <c r="D9" t="s">
        <v>67</v>
      </c>
      <c r="E9" t="s">
        <v>86</v>
      </c>
      <c r="F9" t="s">
        <v>82</v>
      </c>
    </row>
    <row r="10" spans="1:8" x14ac:dyDescent="0.2">
      <c r="B10" t="s">
        <v>57</v>
      </c>
      <c r="D10" t="s">
        <v>68</v>
      </c>
      <c r="E10" t="s">
        <v>81</v>
      </c>
      <c r="F10" t="s">
        <v>83</v>
      </c>
    </row>
    <row r="11" spans="1:8" x14ac:dyDescent="0.2">
      <c r="B11" t="s">
        <v>58</v>
      </c>
      <c r="E11" t="s">
        <v>82</v>
      </c>
      <c r="F11" t="s">
        <v>97</v>
      </c>
    </row>
    <row r="12" spans="1:8" x14ac:dyDescent="0.2">
      <c r="B12" t="s">
        <v>59</v>
      </c>
      <c r="E12" t="s">
        <v>83</v>
      </c>
      <c r="F12" t="s">
        <v>2</v>
      </c>
    </row>
    <row r="13" spans="1:8" x14ac:dyDescent="0.2">
      <c r="E13" t="s">
        <v>97</v>
      </c>
    </row>
    <row r="14" spans="1:8" x14ac:dyDescent="0.2">
      <c r="E14" t="s">
        <v>2</v>
      </c>
    </row>
  </sheetData>
  <pageMargins left="0.7" right="0.7" top="0.75" bottom="0.75" header="0.3" footer="0.3"/>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enableFormatConditionsCalculation="0">
    <tabColor rgb="FF00B0F0"/>
    <pageSetUpPr fitToPage="1"/>
  </sheetPr>
  <dimension ref="A1:V68"/>
  <sheetViews>
    <sheetView zoomScale="75" zoomScaleNormal="75" zoomScalePageLayoutView="75" workbookViewId="0">
      <selection activeCell="A35" sqref="A35"/>
    </sheetView>
  </sheetViews>
  <sheetFormatPr baseColWidth="10" defaultColWidth="8.83203125" defaultRowHeight="15" x14ac:dyDescent="0.2"/>
  <cols>
    <col min="1" max="1" width="29.5" customWidth="1"/>
    <col min="2" max="2" width="13.6640625" customWidth="1"/>
    <col min="3" max="3" width="9.33203125" customWidth="1"/>
    <col min="4" max="4" width="24.5" customWidth="1"/>
    <col min="5" max="5" width="11.1640625" customWidth="1"/>
    <col min="6" max="7" width="13.1640625" customWidth="1"/>
    <col min="8" max="8" width="12.5" style="41" customWidth="1"/>
    <col min="9" max="20" width="13.6640625" customWidth="1"/>
    <col min="21" max="21" width="15" customWidth="1"/>
    <col min="22" max="22" width="27.5" customWidth="1"/>
  </cols>
  <sheetData>
    <row r="1" spans="1:22" ht="19" x14ac:dyDescent="0.25">
      <c r="A1" s="17" t="s">
        <v>239</v>
      </c>
    </row>
    <row r="3" spans="1:22" x14ac:dyDescent="0.2">
      <c r="A3" t="s">
        <v>3</v>
      </c>
      <c r="B3" s="16">
        <f>Worksheet!B7</f>
        <v>0</v>
      </c>
    </row>
    <row r="4" spans="1:22" x14ac:dyDescent="0.2">
      <c r="A4" t="s">
        <v>209</v>
      </c>
      <c r="B4" s="202">
        <f>Worksheet!J12</f>
        <v>0</v>
      </c>
    </row>
    <row r="5" spans="1:22" x14ac:dyDescent="0.2">
      <c r="A5" t="s">
        <v>215</v>
      </c>
      <c r="B5" s="202">
        <f>Worksheet!H12</f>
        <v>0</v>
      </c>
      <c r="D5" s="16" t="s">
        <v>238</v>
      </c>
      <c r="E5" s="205"/>
      <c r="F5" s="202"/>
      <c r="H5" s="41" t="s">
        <v>243</v>
      </c>
    </row>
    <row r="6" spans="1:22" x14ac:dyDescent="0.2">
      <c r="A6" t="s">
        <v>216</v>
      </c>
      <c r="B6" s="202">
        <f>Worksheet!I12</f>
        <v>0</v>
      </c>
      <c r="D6" t="s">
        <v>234</v>
      </c>
      <c r="E6" s="170">
        <f>E5/16</f>
        <v>0</v>
      </c>
      <c r="F6" s="170"/>
    </row>
    <row r="7" spans="1:22" x14ac:dyDescent="0.2">
      <c r="A7" t="s">
        <v>210</v>
      </c>
      <c r="B7" s="170">
        <f>Worksheet!J14</f>
        <v>0</v>
      </c>
      <c r="D7" t="s">
        <v>235</v>
      </c>
      <c r="E7" s="170">
        <f>E5/12</f>
        <v>0</v>
      </c>
      <c r="F7" s="170"/>
    </row>
    <row r="8" spans="1:22" x14ac:dyDescent="0.2">
      <c r="A8" t="s">
        <v>211</v>
      </c>
      <c r="B8" s="170">
        <f>Worksheet!M14</f>
        <v>0</v>
      </c>
      <c r="D8" t="s">
        <v>236</v>
      </c>
      <c r="E8" s="170">
        <f>B7-E6</f>
        <v>0</v>
      </c>
      <c r="F8" s="170"/>
    </row>
    <row r="9" spans="1:22" x14ac:dyDescent="0.2">
      <c r="A9" t="s">
        <v>226</v>
      </c>
      <c r="B9" s="170">
        <f>Worksheet!G17</f>
        <v>0</v>
      </c>
      <c r="D9" t="s">
        <v>237</v>
      </c>
      <c r="E9" s="170">
        <f>B8-E7</f>
        <v>0</v>
      </c>
      <c r="F9" s="170"/>
    </row>
    <row r="12" spans="1:22" x14ac:dyDescent="0.2">
      <c r="A12" s="16" t="s">
        <v>213</v>
      </c>
      <c r="B12" s="16" t="s">
        <v>208</v>
      </c>
      <c r="C12" s="16" t="s">
        <v>204</v>
      </c>
      <c r="D12" s="16" t="s">
        <v>205</v>
      </c>
      <c r="E12" s="200" t="s">
        <v>44</v>
      </c>
      <c r="F12" s="200" t="s">
        <v>206</v>
      </c>
      <c r="G12" s="200" t="s">
        <v>207</v>
      </c>
      <c r="H12" s="200" t="s">
        <v>212</v>
      </c>
      <c r="I12" s="201">
        <v>42186</v>
      </c>
      <c r="J12" s="201">
        <v>42217</v>
      </c>
      <c r="K12" s="201">
        <v>42248</v>
      </c>
      <c r="L12" s="201">
        <v>42278</v>
      </c>
      <c r="M12" s="201">
        <v>42309</v>
      </c>
      <c r="N12" s="201">
        <v>42339</v>
      </c>
      <c r="O12" s="201">
        <v>42370</v>
      </c>
      <c r="P12" s="201">
        <v>42401</v>
      </c>
      <c r="Q12" s="201">
        <v>42430</v>
      </c>
      <c r="R12" s="201">
        <v>42461</v>
      </c>
      <c r="S12" s="201">
        <v>42491</v>
      </c>
      <c r="T12" s="201">
        <v>42522</v>
      </c>
      <c r="U12" s="164" t="s">
        <v>214</v>
      </c>
      <c r="V12" s="16" t="s">
        <v>232</v>
      </c>
    </row>
    <row r="13" spans="1:22" x14ac:dyDescent="0.2">
      <c r="A13" s="169"/>
      <c r="B13" s="169"/>
      <c r="C13" s="169"/>
      <c r="D13" s="169"/>
      <c r="E13" s="203"/>
      <c r="F13" s="204"/>
      <c r="G13" s="204"/>
      <c r="I13" s="170">
        <f>IF(AND($F13&lt;=I$12,$G13&gt;I$12),IF($H13="HST",$E13*$B$7,IF($H13="NXX",$E$6*$E13,$E12*$E$8)),0)</f>
        <v>0</v>
      </c>
      <c r="J13" s="170">
        <f t="shared" ref="J13:T19" si="0">IF(AND($F13&lt;=J$12,$G13&gt;J$12),IF($H13="HST",$E13*$B$7,IF($H13="NXX",$E$6*$E13,$E12*$E$8)),0)</f>
        <v>0</v>
      </c>
      <c r="K13" s="170">
        <f t="shared" si="0"/>
        <v>0</v>
      </c>
      <c r="L13" s="170">
        <f t="shared" si="0"/>
        <v>0</v>
      </c>
      <c r="M13" s="170">
        <f t="shared" si="0"/>
        <v>0</v>
      </c>
      <c r="N13" s="170">
        <f t="shared" si="0"/>
        <v>0</v>
      </c>
      <c r="O13" s="170">
        <f t="shared" si="0"/>
        <v>0</v>
      </c>
      <c r="P13" s="170">
        <f t="shared" si="0"/>
        <v>0</v>
      </c>
      <c r="Q13" s="170">
        <f t="shared" si="0"/>
        <v>0</v>
      </c>
      <c r="R13" s="170">
        <f t="shared" si="0"/>
        <v>0</v>
      </c>
      <c r="S13" s="170">
        <f t="shared" si="0"/>
        <v>0</v>
      </c>
      <c r="T13" s="170">
        <f t="shared" si="0"/>
        <v>0</v>
      </c>
      <c r="U13" s="170">
        <f>SUM(I13:T13)</f>
        <v>0</v>
      </c>
    </row>
    <row r="14" spans="1:22" x14ac:dyDescent="0.2">
      <c r="A14" s="169"/>
      <c r="B14" s="169"/>
      <c r="C14" s="169"/>
      <c r="D14" s="169"/>
      <c r="E14" s="203"/>
      <c r="F14" s="204"/>
      <c r="G14" s="204"/>
      <c r="I14" s="170">
        <f t="shared" ref="I14:I19" si="1">IF(AND($F14&lt;=I$12,$G14&gt;I$12),IF($H14="HST",$E14*$B$7,IF($H14="NXX",$E$6*$E14,$E13*$E$8)),0)</f>
        <v>0</v>
      </c>
      <c r="J14" s="170">
        <f t="shared" si="0"/>
        <v>0</v>
      </c>
      <c r="K14" s="170">
        <f t="shared" si="0"/>
        <v>0</v>
      </c>
      <c r="L14" s="170">
        <f t="shared" si="0"/>
        <v>0</v>
      </c>
      <c r="M14" s="170">
        <f t="shared" si="0"/>
        <v>0</v>
      </c>
      <c r="N14" s="170">
        <f t="shared" si="0"/>
        <v>0</v>
      </c>
      <c r="O14" s="170">
        <f t="shared" si="0"/>
        <v>0</v>
      </c>
      <c r="P14" s="170">
        <f t="shared" si="0"/>
        <v>0</v>
      </c>
      <c r="Q14" s="170">
        <f t="shared" si="0"/>
        <v>0</v>
      </c>
      <c r="R14" s="170">
        <f t="shared" si="0"/>
        <v>0</v>
      </c>
      <c r="S14" s="170">
        <f t="shared" si="0"/>
        <v>0</v>
      </c>
      <c r="T14" s="170">
        <f t="shared" si="0"/>
        <v>0</v>
      </c>
      <c r="U14" s="170">
        <f>SUM(I14:T14)</f>
        <v>0</v>
      </c>
      <c r="V14" t="s">
        <v>233</v>
      </c>
    </row>
    <row r="15" spans="1:22" x14ac:dyDescent="0.2">
      <c r="A15" s="169"/>
      <c r="B15" s="169"/>
      <c r="C15" s="169"/>
      <c r="D15" s="169"/>
      <c r="E15" s="203"/>
      <c r="F15" s="204"/>
      <c r="G15" s="204"/>
      <c r="I15" s="170">
        <f t="shared" si="1"/>
        <v>0</v>
      </c>
      <c r="J15" s="170">
        <f t="shared" si="0"/>
        <v>0</v>
      </c>
      <c r="K15" s="170">
        <f t="shared" si="0"/>
        <v>0</v>
      </c>
      <c r="L15" s="170">
        <f t="shared" si="0"/>
        <v>0</v>
      </c>
      <c r="M15" s="170">
        <f t="shared" si="0"/>
        <v>0</v>
      </c>
      <c r="N15" s="170">
        <f t="shared" si="0"/>
        <v>0</v>
      </c>
      <c r="O15" s="170">
        <f t="shared" si="0"/>
        <v>0</v>
      </c>
      <c r="P15" s="170">
        <f t="shared" si="0"/>
        <v>0</v>
      </c>
      <c r="Q15" s="170">
        <f t="shared" si="0"/>
        <v>0</v>
      </c>
      <c r="R15" s="170">
        <f t="shared" si="0"/>
        <v>0</v>
      </c>
      <c r="S15" s="170">
        <f t="shared" si="0"/>
        <v>0</v>
      </c>
      <c r="T15" s="170">
        <f t="shared" si="0"/>
        <v>0</v>
      </c>
      <c r="U15" s="170">
        <f>SUM(I15:T15)</f>
        <v>0</v>
      </c>
    </row>
    <row r="16" spans="1:22" x14ac:dyDescent="0.2">
      <c r="A16" s="169"/>
      <c r="B16" s="169"/>
      <c r="C16" s="169"/>
      <c r="D16" s="169"/>
      <c r="E16" s="203"/>
      <c r="F16" s="204"/>
      <c r="G16" s="204"/>
      <c r="I16" s="170">
        <f t="shared" si="1"/>
        <v>0</v>
      </c>
      <c r="J16" s="170">
        <f t="shared" si="0"/>
        <v>0</v>
      </c>
      <c r="K16" s="170">
        <f t="shared" si="0"/>
        <v>0</v>
      </c>
      <c r="L16" s="170">
        <f t="shared" si="0"/>
        <v>0</v>
      </c>
      <c r="M16" s="170">
        <f t="shared" si="0"/>
        <v>0</v>
      </c>
      <c r="N16" s="170">
        <f t="shared" si="0"/>
        <v>0</v>
      </c>
      <c r="O16" s="170">
        <f t="shared" si="0"/>
        <v>0</v>
      </c>
      <c r="P16" s="170">
        <f t="shared" si="0"/>
        <v>0</v>
      </c>
      <c r="Q16" s="170">
        <f t="shared" si="0"/>
        <v>0</v>
      </c>
      <c r="R16" s="170">
        <f t="shared" si="0"/>
        <v>0</v>
      </c>
      <c r="S16" s="170">
        <f t="shared" si="0"/>
        <v>0</v>
      </c>
      <c r="T16" s="170">
        <f t="shared" si="0"/>
        <v>0</v>
      </c>
      <c r="U16" s="170">
        <f t="shared" ref="U16:U19" si="2">SUM(I16:T16)</f>
        <v>0</v>
      </c>
    </row>
    <row r="17" spans="1:21" x14ac:dyDescent="0.2">
      <c r="A17" s="169"/>
      <c r="B17" s="169"/>
      <c r="C17" s="169"/>
      <c r="D17" s="169"/>
      <c r="E17" s="203"/>
      <c r="F17" s="204"/>
      <c r="G17" s="204"/>
      <c r="I17" s="170">
        <f t="shared" si="1"/>
        <v>0</v>
      </c>
      <c r="J17" s="170">
        <f t="shared" si="0"/>
        <v>0</v>
      </c>
      <c r="K17" s="170">
        <f t="shared" si="0"/>
        <v>0</v>
      </c>
      <c r="L17" s="170">
        <f t="shared" si="0"/>
        <v>0</v>
      </c>
      <c r="M17" s="170">
        <f t="shared" si="0"/>
        <v>0</v>
      </c>
      <c r="N17" s="170">
        <f t="shared" si="0"/>
        <v>0</v>
      </c>
      <c r="O17" s="170">
        <f t="shared" si="0"/>
        <v>0</v>
      </c>
      <c r="P17" s="170">
        <f t="shared" si="0"/>
        <v>0</v>
      </c>
      <c r="Q17" s="170">
        <f t="shared" si="0"/>
        <v>0</v>
      </c>
      <c r="R17" s="170">
        <f t="shared" si="0"/>
        <v>0</v>
      </c>
      <c r="S17" s="170">
        <f t="shared" si="0"/>
        <v>0</v>
      </c>
      <c r="T17" s="170">
        <f t="shared" si="0"/>
        <v>0</v>
      </c>
      <c r="U17" s="170">
        <f t="shared" si="2"/>
        <v>0</v>
      </c>
    </row>
    <row r="18" spans="1:21" x14ac:dyDescent="0.2">
      <c r="A18" s="169"/>
      <c r="B18" s="169"/>
      <c r="C18" s="169"/>
      <c r="D18" s="169"/>
      <c r="E18" s="203"/>
      <c r="F18" s="204"/>
      <c r="G18" s="204"/>
      <c r="I18" s="170">
        <f t="shared" si="1"/>
        <v>0</v>
      </c>
      <c r="J18" s="170">
        <f t="shared" si="0"/>
        <v>0</v>
      </c>
      <c r="K18" s="170">
        <f t="shared" si="0"/>
        <v>0</v>
      </c>
      <c r="L18" s="170">
        <f t="shared" si="0"/>
        <v>0</v>
      </c>
      <c r="M18" s="170">
        <f t="shared" si="0"/>
        <v>0</v>
      </c>
      <c r="N18" s="170">
        <f t="shared" si="0"/>
        <v>0</v>
      </c>
      <c r="O18" s="170">
        <f t="shared" si="0"/>
        <v>0</v>
      </c>
      <c r="P18" s="170">
        <f t="shared" si="0"/>
        <v>0</v>
      </c>
      <c r="Q18" s="170">
        <f t="shared" si="0"/>
        <v>0</v>
      </c>
      <c r="R18" s="170">
        <f t="shared" si="0"/>
        <v>0</v>
      </c>
      <c r="S18" s="170">
        <f t="shared" si="0"/>
        <v>0</v>
      </c>
      <c r="T18" s="170">
        <f t="shared" si="0"/>
        <v>0</v>
      </c>
      <c r="U18" s="170">
        <f t="shared" si="2"/>
        <v>0</v>
      </c>
    </row>
    <row r="19" spans="1:21" x14ac:dyDescent="0.2">
      <c r="A19" s="169"/>
      <c r="B19" s="169"/>
      <c r="C19" s="169"/>
      <c r="D19" s="169"/>
      <c r="E19" s="203"/>
      <c r="F19" s="204"/>
      <c r="G19" s="204"/>
      <c r="I19" s="170">
        <f t="shared" si="1"/>
        <v>0</v>
      </c>
      <c r="J19" s="170">
        <f t="shared" si="0"/>
        <v>0</v>
      </c>
      <c r="K19" s="170">
        <f t="shared" si="0"/>
        <v>0</v>
      </c>
      <c r="L19" s="170">
        <f t="shared" si="0"/>
        <v>0</v>
      </c>
      <c r="M19" s="170">
        <f t="shared" si="0"/>
        <v>0</v>
      </c>
      <c r="N19" s="170">
        <f t="shared" si="0"/>
        <v>0</v>
      </c>
      <c r="O19" s="170">
        <f t="shared" si="0"/>
        <v>0</v>
      </c>
      <c r="P19" s="170">
        <f t="shared" si="0"/>
        <v>0</v>
      </c>
      <c r="Q19" s="170">
        <f t="shared" si="0"/>
        <v>0</v>
      </c>
      <c r="R19" s="170">
        <f t="shared" si="0"/>
        <v>0</v>
      </c>
      <c r="S19" s="170">
        <f t="shared" si="0"/>
        <v>0</v>
      </c>
      <c r="T19" s="170">
        <f t="shared" si="0"/>
        <v>0</v>
      </c>
      <c r="U19" s="170">
        <f t="shared" si="2"/>
        <v>0</v>
      </c>
    </row>
    <row r="20" spans="1:21" x14ac:dyDescent="0.2">
      <c r="A20" s="169"/>
      <c r="B20" s="169"/>
      <c r="C20" s="169"/>
      <c r="D20" s="169"/>
      <c r="E20" s="203"/>
      <c r="F20" s="204"/>
      <c r="G20" s="204"/>
      <c r="I20" s="170">
        <f t="shared" ref="I20:I27" si="3">IF(AND($F20&lt;=I$12,$G20&gt;I$12),IF($H20="HST",$E20*$B$7,IF($H20="NXX",$E$6*$E20,$E19*$E$8)),0)</f>
        <v>0</v>
      </c>
      <c r="J20" s="170">
        <f t="shared" ref="J20:J27" si="4">IF(AND($F20&lt;=J$12,$G20&gt;J$12),IF($H20="HST",$E20*$B$7,IF($H20="NXX",$E$6*$E20,$E19*$E$8)),0)</f>
        <v>0</v>
      </c>
      <c r="K20" s="170">
        <f t="shared" ref="K20:K27" si="5">IF(AND($F20&lt;=K$12,$G20&gt;K$12),IF($H20="HST",$E20*$B$7,IF($H20="NXX",$E$6*$E20,$E19*$E$8)),0)</f>
        <v>0</v>
      </c>
      <c r="L20" s="170">
        <f t="shared" ref="L20:L27" si="6">IF(AND($F20&lt;=L$12,$G20&gt;L$12),IF($H20="HST",$E20*$B$7,IF($H20="NXX",$E$6*$E20,$E19*$E$8)),0)</f>
        <v>0</v>
      </c>
      <c r="M20" s="170">
        <f t="shared" ref="M20:M27" si="7">IF(AND($F20&lt;=M$12,$G20&gt;M$12),IF($H20="HST",$E20*$B$7,IF($H20="NXX",$E$6*$E20,$E19*$E$8)),0)</f>
        <v>0</v>
      </c>
      <c r="N20" s="170">
        <f t="shared" ref="N20:N27" si="8">IF(AND($F20&lt;=N$12,$G20&gt;N$12),IF($H20="HST",$E20*$B$7,IF($H20="NXX",$E$6*$E20,$E19*$E$8)),0)</f>
        <v>0</v>
      </c>
      <c r="O20" s="170">
        <f t="shared" ref="O20:O27" si="9">IF(AND($F20&lt;=O$12,$G20&gt;O$12),IF($H20="HST",$E20*$B$7,IF($H20="NXX",$E$6*$E20,$E19*$E$8)),0)</f>
        <v>0</v>
      </c>
      <c r="P20" s="170">
        <f t="shared" ref="P20:P27" si="10">IF(AND($F20&lt;=P$12,$G20&gt;P$12),IF($H20="HST",$E20*$B$7,IF($H20="NXX",$E$6*$E20,$E19*$E$8)),0)</f>
        <v>0</v>
      </c>
      <c r="Q20" s="170">
        <f t="shared" ref="Q20:Q27" si="11">IF(AND($F20&lt;=Q$12,$G20&gt;Q$12),IF($H20="HST",$E20*$B$7,IF($H20="NXX",$E$6*$E20,$E19*$E$8)),0)</f>
        <v>0</v>
      </c>
      <c r="R20" s="170">
        <f t="shared" ref="R20:R27" si="12">IF(AND($F20&lt;=R$12,$G20&gt;R$12),IF($H20="HST",$E20*$B$7,IF($H20="NXX",$E$6*$E20,$E19*$E$8)),0)</f>
        <v>0</v>
      </c>
      <c r="S20" s="170">
        <f t="shared" ref="S20:S27" si="13">IF(AND($F20&lt;=S$12,$G20&gt;S$12),IF($H20="HST",$E20*$B$7,IF($H20="NXX",$E$6*$E20,$E19*$E$8)),0)</f>
        <v>0</v>
      </c>
      <c r="T20" s="170">
        <f t="shared" ref="T20:T27" si="14">IF(AND($F20&lt;=T$12,$G20&gt;T$12),IF($H20="HST",$E20*$B$7,IF($H20="NXX",$E$6*$E20,$E19*$E$8)),0)</f>
        <v>0</v>
      </c>
      <c r="U20" s="170">
        <f t="shared" ref="U20:U27" si="15">SUM(I20:T20)</f>
        <v>0</v>
      </c>
    </row>
    <row r="21" spans="1:21" hidden="1" x14ac:dyDescent="0.2">
      <c r="A21" s="169" t="s">
        <v>219</v>
      </c>
      <c r="B21" s="169"/>
      <c r="C21" s="169"/>
      <c r="D21" s="169"/>
      <c r="E21" s="203"/>
      <c r="F21" s="204"/>
      <c r="G21" s="204"/>
      <c r="H21" s="41" t="str">
        <f t="shared" ref="H21:H27" si="16">IF($A21="Covered Comp-Capped Fund","NXX",IF($A21="Covered Comp-Cap Gap Fund","BYR","HST"))</f>
        <v>HST</v>
      </c>
      <c r="I21" s="170">
        <f t="shared" si="3"/>
        <v>0</v>
      </c>
      <c r="J21" s="170">
        <f t="shared" si="4"/>
        <v>0</v>
      </c>
      <c r="K21" s="170">
        <f t="shared" si="5"/>
        <v>0</v>
      </c>
      <c r="L21" s="170">
        <f t="shared" si="6"/>
        <v>0</v>
      </c>
      <c r="M21" s="170">
        <f t="shared" si="7"/>
        <v>0</v>
      </c>
      <c r="N21" s="170">
        <f t="shared" si="8"/>
        <v>0</v>
      </c>
      <c r="O21" s="170">
        <f t="shared" si="9"/>
        <v>0</v>
      </c>
      <c r="P21" s="170">
        <f t="shared" si="10"/>
        <v>0</v>
      </c>
      <c r="Q21" s="170">
        <f t="shared" si="11"/>
        <v>0</v>
      </c>
      <c r="R21" s="170">
        <f t="shared" si="12"/>
        <v>0</v>
      </c>
      <c r="S21" s="170">
        <f t="shared" si="13"/>
        <v>0</v>
      </c>
      <c r="T21" s="170">
        <f t="shared" si="14"/>
        <v>0</v>
      </c>
      <c r="U21" s="170">
        <f t="shared" si="15"/>
        <v>0</v>
      </c>
    </row>
    <row r="22" spans="1:21" hidden="1" x14ac:dyDescent="0.2">
      <c r="A22" s="169" t="s">
        <v>219</v>
      </c>
      <c r="B22" s="169"/>
      <c r="C22" s="169"/>
      <c r="D22" s="169"/>
      <c r="E22" s="203"/>
      <c r="F22" s="204"/>
      <c r="G22" s="204"/>
      <c r="H22" s="41" t="str">
        <f t="shared" si="16"/>
        <v>HST</v>
      </c>
      <c r="I22" s="170">
        <f t="shared" si="3"/>
        <v>0</v>
      </c>
      <c r="J22" s="170">
        <f t="shared" si="4"/>
        <v>0</v>
      </c>
      <c r="K22" s="170">
        <f t="shared" si="5"/>
        <v>0</v>
      </c>
      <c r="L22" s="170">
        <f t="shared" si="6"/>
        <v>0</v>
      </c>
      <c r="M22" s="170">
        <f t="shared" si="7"/>
        <v>0</v>
      </c>
      <c r="N22" s="170">
        <f t="shared" si="8"/>
        <v>0</v>
      </c>
      <c r="O22" s="170">
        <f t="shared" si="9"/>
        <v>0</v>
      </c>
      <c r="P22" s="170">
        <f t="shared" si="10"/>
        <v>0</v>
      </c>
      <c r="Q22" s="170">
        <f t="shared" si="11"/>
        <v>0</v>
      </c>
      <c r="R22" s="170">
        <f t="shared" si="12"/>
        <v>0</v>
      </c>
      <c r="S22" s="170">
        <f t="shared" si="13"/>
        <v>0</v>
      </c>
      <c r="T22" s="170">
        <f t="shared" si="14"/>
        <v>0</v>
      </c>
      <c r="U22" s="170">
        <f t="shared" si="15"/>
        <v>0</v>
      </c>
    </row>
    <row r="23" spans="1:21" hidden="1" x14ac:dyDescent="0.2">
      <c r="A23" s="169" t="s">
        <v>219</v>
      </c>
      <c r="B23" s="169"/>
      <c r="C23" s="169"/>
      <c r="D23" s="169"/>
      <c r="E23" s="203"/>
      <c r="F23" s="204"/>
      <c r="G23" s="204"/>
      <c r="H23" s="41" t="str">
        <f t="shared" si="16"/>
        <v>HST</v>
      </c>
      <c r="I23" s="170">
        <f t="shared" si="3"/>
        <v>0</v>
      </c>
      <c r="J23" s="170">
        <f t="shared" si="4"/>
        <v>0</v>
      </c>
      <c r="K23" s="170">
        <f t="shared" si="5"/>
        <v>0</v>
      </c>
      <c r="L23" s="170">
        <f t="shared" si="6"/>
        <v>0</v>
      </c>
      <c r="M23" s="170">
        <f t="shared" si="7"/>
        <v>0</v>
      </c>
      <c r="N23" s="170">
        <f t="shared" si="8"/>
        <v>0</v>
      </c>
      <c r="O23" s="170">
        <f t="shared" si="9"/>
        <v>0</v>
      </c>
      <c r="P23" s="170">
        <f t="shared" si="10"/>
        <v>0</v>
      </c>
      <c r="Q23" s="170">
        <f t="shared" si="11"/>
        <v>0</v>
      </c>
      <c r="R23" s="170">
        <f t="shared" si="12"/>
        <v>0</v>
      </c>
      <c r="S23" s="170">
        <f t="shared" si="13"/>
        <v>0</v>
      </c>
      <c r="T23" s="170">
        <f t="shared" si="14"/>
        <v>0</v>
      </c>
      <c r="U23" s="170">
        <f t="shared" si="15"/>
        <v>0</v>
      </c>
    </row>
    <row r="24" spans="1:21" hidden="1" x14ac:dyDescent="0.2">
      <c r="A24" s="169" t="s">
        <v>219</v>
      </c>
      <c r="B24" s="169"/>
      <c r="C24" s="169"/>
      <c r="D24" s="169"/>
      <c r="E24" s="203"/>
      <c r="F24" s="204"/>
      <c r="G24" s="204"/>
      <c r="H24" s="41" t="str">
        <f t="shared" si="16"/>
        <v>HST</v>
      </c>
      <c r="I24" s="170">
        <f t="shared" si="3"/>
        <v>0</v>
      </c>
      <c r="J24" s="170">
        <f t="shared" si="4"/>
        <v>0</v>
      </c>
      <c r="K24" s="170">
        <f t="shared" si="5"/>
        <v>0</v>
      </c>
      <c r="L24" s="170">
        <f t="shared" si="6"/>
        <v>0</v>
      </c>
      <c r="M24" s="170">
        <f t="shared" si="7"/>
        <v>0</v>
      </c>
      <c r="N24" s="170">
        <f t="shared" si="8"/>
        <v>0</v>
      </c>
      <c r="O24" s="170">
        <f t="shared" si="9"/>
        <v>0</v>
      </c>
      <c r="P24" s="170">
        <f t="shared" si="10"/>
        <v>0</v>
      </c>
      <c r="Q24" s="170">
        <f t="shared" si="11"/>
        <v>0</v>
      </c>
      <c r="R24" s="170">
        <f t="shared" si="12"/>
        <v>0</v>
      </c>
      <c r="S24" s="170">
        <f t="shared" si="13"/>
        <v>0</v>
      </c>
      <c r="T24" s="170">
        <f t="shared" si="14"/>
        <v>0</v>
      </c>
      <c r="U24" s="170">
        <f t="shared" si="15"/>
        <v>0</v>
      </c>
    </row>
    <row r="25" spans="1:21" hidden="1" x14ac:dyDescent="0.2">
      <c r="A25" s="169" t="s">
        <v>219</v>
      </c>
      <c r="B25" s="169"/>
      <c r="C25" s="169"/>
      <c r="D25" s="169"/>
      <c r="E25" s="203"/>
      <c r="F25" s="204"/>
      <c r="G25" s="204"/>
      <c r="H25" s="41" t="str">
        <f t="shared" si="16"/>
        <v>HST</v>
      </c>
      <c r="I25" s="170">
        <f t="shared" si="3"/>
        <v>0</v>
      </c>
      <c r="J25" s="170">
        <f t="shared" si="4"/>
        <v>0</v>
      </c>
      <c r="K25" s="170">
        <f t="shared" si="5"/>
        <v>0</v>
      </c>
      <c r="L25" s="170">
        <f t="shared" si="6"/>
        <v>0</v>
      </c>
      <c r="M25" s="170">
        <f t="shared" si="7"/>
        <v>0</v>
      </c>
      <c r="N25" s="170">
        <f t="shared" si="8"/>
        <v>0</v>
      </c>
      <c r="O25" s="170">
        <f t="shared" si="9"/>
        <v>0</v>
      </c>
      <c r="P25" s="170">
        <f t="shared" si="10"/>
        <v>0</v>
      </c>
      <c r="Q25" s="170">
        <f t="shared" si="11"/>
        <v>0</v>
      </c>
      <c r="R25" s="170">
        <f t="shared" si="12"/>
        <v>0</v>
      </c>
      <c r="S25" s="170">
        <f t="shared" si="13"/>
        <v>0</v>
      </c>
      <c r="T25" s="170">
        <f t="shared" si="14"/>
        <v>0</v>
      </c>
      <c r="U25" s="170">
        <f t="shared" si="15"/>
        <v>0</v>
      </c>
    </row>
    <row r="26" spans="1:21" hidden="1" x14ac:dyDescent="0.2">
      <c r="A26" s="169" t="s">
        <v>219</v>
      </c>
      <c r="B26" s="169"/>
      <c r="C26" s="169"/>
      <c r="D26" s="169"/>
      <c r="E26" s="203"/>
      <c r="F26" s="204"/>
      <c r="G26" s="204"/>
      <c r="H26" s="41" t="str">
        <f t="shared" si="16"/>
        <v>HST</v>
      </c>
      <c r="I26" s="170">
        <f t="shared" si="3"/>
        <v>0</v>
      </c>
      <c r="J26" s="170">
        <f t="shared" si="4"/>
        <v>0</v>
      </c>
      <c r="K26" s="170">
        <f t="shared" si="5"/>
        <v>0</v>
      </c>
      <c r="L26" s="170">
        <f t="shared" si="6"/>
        <v>0</v>
      </c>
      <c r="M26" s="170">
        <f t="shared" si="7"/>
        <v>0</v>
      </c>
      <c r="N26" s="170">
        <f t="shared" si="8"/>
        <v>0</v>
      </c>
      <c r="O26" s="170">
        <f t="shared" si="9"/>
        <v>0</v>
      </c>
      <c r="P26" s="170">
        <f t="shared" si="10"/>
        <v>0</v>
      </c>
      <c r="Q26" s="170">
        <f t="shared" si="11"/>
        <v>0</v>
      </c>
      <c r="R26" s="170">
        <f t="shared" si="12"/>
        <v>0</v>
      </c>
      <c r="S26" s="170">
        <f t="shared" si="13"/>
        <v>0</v>
      </c>
      <c r="T26" s="170">
        <f t="shared" si="14"/>
        <v>0</v>
      </c>
      <c r="U26" s="170">
        <f t="shared" si="15"/>
        <v>0</v>
      </c>
    </row>
    <row r="27" spans="1:21" hidden="1" x14ac:dyDescent="0.2">
      <c r="A27" s="169" t="s">
        <v>219</v>
      </c>
      <c r="B27" s="169"/>
      <c r="C27" s="169"/>
      <c r="D27" s="169"/>
      <c r="E27" s="203"/>
      <c r="F27" s="204"/>
      <c r="G27" s="204"/>
      <c r="H27" s="41" t="str">
        <f t="shared" si="16"/>
        <v>HST</v>
      </c>
      <c r="I27" s="170">
        <f t="shared" si="3"/>
        <v>0</v>
      </c>
      <c r="J27" s="170">
        <f t="shared" si="4"/>
        <v>0</v>
      </c>
      <c r="K27" s="170">
        <f t="shared" si="5"/>
        <v>0</v>
      </c>
      <c r="L27" s="170">
        <f t="shared" si="6"/>
        <v>0</v>
      </c>
      <c r="M27" s="170">
        <f t="shared" si="7"/>
        <v>0</v>
      </c>
      <c r="N27" s="170">
        <f t="shared" si="8"/>
        <v>0</v>
      </c>
      <c r="O27" s="170">
        <f t="shared" si="9"/>
        <v>0</v>
      </c>
      <c r="P27" s="170">
        <f t="shared" si="10"/>
        <v>0</v>
      </c>
      <c r="Q27" s="170">
        <f t="shared" si="11"/>
        <v>0</v>
      </c>
      <c r="R27" s="170">
        <f t="shared" si="12"/>
        <v>0</v>
      </c>
      <c r="S27" s="170">
        <f t="shared" si="13"/>
        <v>0</v>
      </c>
      <c r="T27" s="170">
        <f t="shared" si="14"/>
        <v>0</v>
      </c>
      <c r="U27" s="170">
        <f t="shared" si="15"/>
        <v>0</v>
      </c>
    </row>
    <row r="28" spans="1:21" x14ac:dyDescent="0.2">
      <c r="E28" s="195"/>
      <c r="I28" s="170"/>
      <c r="J28" s="170"/>
      <c r="K28" s="170"/>
      <c r="L28" s="170"/>
      <c r="M28" s="170"/>
      <c r="N28" s="170"/>
      <c r="O28" s="170"/>
      <c r="P28" s="170"/>
      <c r="Q28" s="170"/>
      <c r="R28" s="170"/>
      <c r="S28" s="170"/>
      <c r="T28" s="170"/>
      <c r="U28" s="170"/>
    </row>
    <row r="29" spans="1:21" x14ac:dyDescent="0.2">
      <c r="E29" s="195"/>
      <c r="G29" s="125" t="s">
        <v>224</v>
      </c>
      <c r="H29" s="196"/>
      <c r="I29" s="197">
        <f t="shared" ref="I29:U29" si="17">SUM(I13:I28)</f>
        <v>0</v>
      </c>
      <c r="J29" s="197">
        <f t="shared" si="17"/>
        <v>0</v>
      </c>
      <c r="K29" s="197">
        <f t="shared" si="17"/>
        <v>0</v>
      </c>
      <c r="L29" s="197">
        <f t="shared" si="17"/>
        <v>0</v>
      </c>
      <c r="M29" s="197">
        <f t="shared" si="17"/>
        <v>0</v>
      </c>
      <c r="N29" s="197">
        <f t="shared" si="17"/>
        <v>0</v>
      </c>
      <c r="O29" s="197">
        <f t="shared" si="17"/>
        <v>0</v>
      </c>
      <c r="P29" s="197">
        <f t="shared" si="17"/>
        <v>0</v>
      </c>
      <c r="Q29" s="197">
        <f t="shared" si="17"/>
        <v>0</v>
      </c>
      <c r="R29" s="197">
        <f t="shared" si="17"/>
        <v>0</v>
      </c>
      <c r="S29" s="197">
        <f t="shared" si="17"/>
        <v>0</v>
      </c>
      <c r="T29" s="197">
        <f t="shared" si="17"/>
        <v>0</v>
      </c>
      <c r="U29" s="197">
        <f t="shared" si="17"/>
        <v>0</v>
      </c>
    </row>
    <row r="30" spans="1:21" x14ac:dyDescent="0.2">
      <c r="E30" s="195"/>
      <c r="G30" s="125" t="s">
        <v>225</v>
      </c>
      <c r="H30" s="196"/>
      <c r="I30" s="197">
        <f>ROUND($B$5/12,2)</f>
        <v>0</v>
      </c>
      <c r="J30" s="197">
        <f t="shared" ref="J30:T30" si="18">ROUND($B$5/12,2)</f>
        <v>0</v>
      </c>
      <c r="K30" s="197">
        <f t="shared" si="18"/>
        <v>0</v>
      </c>
      <c r="L30" s="197">
        <f t="shared" si="18"/>
        <v>0</v>
      </c>
      <c r="M30" s="197">
        <f t="shared" si="18"/>
        <v>0</v>
      </c>
      <c r="N30" s="197">
        <f t="shared" si="18"/>
        <v>0</v>
      </c>
      <c r="O30" s="197">
        <f t="shared" si="18"/>
        <v>0</v>
      </c>
      <c r="P30" s="197">
        <f t="shared" si="18"/>
        <v>0</v>
      </c>
      <c r="Q30" s="197">
        <f t="shared" si="18"/>
        <v>0</v>
      </c>
      <c r="R30" s="197">
        <f t="shared" si="18"/>
        <v>0</v>
      </c>
      <c r="S30" s="197">
        <f t="shared" si="18"/>
        <v>0</v>
      </c>
      <c r="T30" s="197">
        <f t="shared" si="18"/>
        <v>0</v>
      </c>
      <c r="U30" s="197">
        <f>SUM(I30:T30)</f>
        <v>0</v>
      </c>
    </row>
    <row r="31" spans="1:21" x14ac:dyDescent="0.2">
      <c r="E31" s="195"/>
      <c r="G31" s="125" t="s">
        <v>223</v>
      </c>
      <c r="H31" s="196"/>
      <c r="I31" s="197">
        <f>I30-I29</f>
        <v>0</v>
      </c>
      <c r="J31" s="197">
        <f t="shared" ref="J31:U31" si="19">J30-J29</f>
        <v>0</v>
      </c>
      <c r="K31" s="197">
        <f t="shared" si="19"/>
        <v>0</v>
      </c>
      <c r="L31" s="197">
        <f t="shared" si="19"/>
        <v>0</v>
      </c>
      <c r="M31" s="197">
        <f t="shared" si="19"/>
        <v>0</v>
      </c>
      <c r="N31" s="197">
        <f t="shared" si="19"/>
        <v>0</v>
      </c>
      <c r="O31" s="197">
        <f t="shared" si="19"/>
        <v>0</v>
      </c>
      <c r="P31" s="197">
        <f t="shared" si="19"/>
        <v>0</v>
      </c>
      <c r="Q31" s="197">
        <f t="shared" si="19"/>
        <v>0</v>
      </c>
      <c r="R31" s="197">
        <f t="shared" si="19"/>
        <v>0</v>
      </c>
      <c r="S31" s="197">
        <f t="shared" si="19"/>
        <v>0</v>
      </c>
      <c r="T31" s="197">
        <f t="shared" si="19"/>
        <v>0</v>
      </c>
      <c r="U31" s="197">
        <f t="shared" si="19"/>
        <v>0</v>
      </c>
    </row>
    <row r="32" spans="1:21" x14ac:dyDescent="0.2">
      <c r="E32" s="195"/>
      <c r="I32" s="170"/>
      <c r="J32" s="170"/>
      <c r="K32" s="170"/>
      <c r="L32" s="170"/>
      <c r="M32" s="170"/>
      <c r="N32" s="170"/>
      <c r="O32" s="170"/>
      <c r="P32" s="170"/>
      <c r="Q32" s="170"/>
      <c r="R32" s="170"/>
      <c r="S32" s="170"/>
      <c r="T32" s="170"/>
      <c r="U32" s="170"/>
    </row>
    <row r="33" spans="1:21" x14ac:dyDescent="0.2">
      <c r="A33" s="169"/>
      <c r="B33" s="169"/>
      <c r="C33" s="169"/>
      <c r="D33" s="169"/>
      <c r="E33" s="203"/>
      <c r="F33" s="204"/>
      <c r="G33" s="204"/>
      <c r="I33" s="170">
        <f>IF(AND($F33&lt;=I$12,$G33&gt;I$12),IF($H33="NEY",$E33*$B$7,IF($H33="NIY",$E$6*$E33,$E32*$E$8)),0)</f>
        <v>0</v>
      </c>
      <c r="J33" s="170">
        <f t="shared" ref="J33:T38" si="20">IF(AND($F33&lt;=J$12,$G33&gt;J$12),IF($H33="NEY",$E33*$B$7,IF($H33="NIY",$E$6*$E33,$E32*$E$8)),0)</f>
        <v>0</v>
      </c>
      <c r="K33" s="170">
        <f t="shared" si="20"/>
        <v>0</v>
      </c>
      <c r="L33" s="170">
        <f t="shared" si="20"/>
        <v>0</v>
      </c>
      <c r="M33" s="170">
        <f t="shared" si="20"/>
        <v>0</v>
      </c>
      <c r="N33" s="170">
        <f t="shared" si="20"/>
        <v>0</v>
      </c>
      <c r="O33" s="170">
        <f t="shared" si="20"/>
        <v>0</v>
      </c>
      <c r="P33" s="170">
        <f t="shared" si="20"/>
        <v>0</v>
      </c>
      <c r="Q33" s="170">
        <f t="shared" si="20"/>
        <v>0</v>
      </c>
      <c r="R33" s="170">
        <f t="shared" si="20"/>
        <v>0</v>
      </c>
      <c r="S33" s="170">
        <f t="shared" si="20"/>
        <v>0</v>
      </c>
      <c r="T33" s="170">
        <f t="shared" si="20"/>
        <v>0</v>
      </c>
      <c r="U33" s="170">
        <f t="shared" ref="U33:U38" si="21">SUM(I33:T33)</f>
        <v>0</v>
      </c>
    </row>
    <row r="34" spans="1:21" x14ac:dyDescent="0.2">
      <c r="A34" s="169"/>
      <c r="B34" s="169"/>
      <c r="C34" s="169"/>
      <c r="D34" s="169"/>
      <c r="E34" s="203"/>
      <c r="F34" s="204"/>
      <c r="G34" s="204"/>
      <c r="I34" s="170">
        <f t="shared" ref="I34:I38" si="22">IF(AND($F34&lt;=I$12,$G34&gt;I$12),IF($H34="NEY",$E34*$B$7,IF($H34="NIY",$E$6*$E34,$E33*$E$8)),0)</f>
        <v>0</v>
      </c>
      <c r="J34" s="170">
        <f t="shared" si="20"/>
        <v>0</v>
      </c>
      <c r="K34" s="170">
        <f t="shared" si="20"/>
        <v>0</v>
      </c>
      <c r="L34" s="170">
        <f t="shared" si="20"/>
        <v>0</v>
      </c>
      <c r="M34" s="170">
        <f t="shared" si="20"/>
        <v>0</v>
      </c>
      <c r="N34" s="170">
        <f t="shared" si="20"/>
        <v>0</v>
      </c>
      <c r="O34" s="170">
        <f t="shared" si="20"/>
        <v>0</v>
      </c>
      <c r="P34" s="170">
        <f t="shared" si="20"/>
        <v>0</v>
      </c>
      <c r="Q34" s="170">
        <f t="shared" si="20"/>
        <v>0</v>
      </c>
      <c r="R34" s="170">
        <f t="shared" si="20"/>
        <v>0</v>
      </c>
      <c r="S34" s="170">
        <f t="shared" si="20"/>
        <v>0</v>
      </c>
      <c r="T34" s="170">
        <f t="shared" si="20"/>
        <v>0</v>
      </c>
      <c r="U34" s="170">
        <f t="shared" si="21"/>
        <v>0</v>
      </c>
    </row>
    <row r="35" spans="1:21" x14ac:dyDescent="0.2">
      <c r="A35" s="169"/>
      <c r="B35" s="169"/>
      <c r="C35" s="169"/>
      <c r="D35" s="169"/>
      <c r="E35" s="203"/>
      <c r="F35" s="204"/>
      <c r="G35" s="204"/>
      <c r="I35" s="170">
        <f t="shared" si="22"/>
        <v>0</v>
      </c>
      <c r="J35" s="170">
        <f t="shared" si="20"/>
        <v>0</v>
      </c>
      <c r="K35" s="170">
        <f t="shared" si="20"/>
        <v>0</v>
      </c>
      <c r="L35" s="170">
        <f t="shared" si="20"/>
        <v>0</v>
      </c>
      <c r="M35" s="170">
        <f t="shared" si="20"/>
        <v>0</v>
      </c>
      <c r="N35" s="170">
        <f t="shared" si="20"/>
        <v>0</v>
      </c>
      <c r="O35" s="170">
        <f t="shared" si="20"/>
        <v>0</v>
      </c>
      <c r="P35" s="170">
        <f t="shared" si="20"/>
        <v>0</v>
      </c>
      <c r="Q35" s="170">
        <f t="shared" si="20"/>
        <v>0</v>
      </c>
      <c r="R35" s="170">
        <f t="shared" si="20"/>
        <v>0</v>
      </c>
      <c r="S35" s="170">
        <f t="shared" si="20"/>
        <v>0</v>
      </c>
      <c r="T35" s="170">
        <f t="shared" si="20"/>
        <v>0</v>
      </c>
      <c r="U35" s="170">
        <f t="shared" si="21"/>
        <v>0</v>
      </c>
    </row>
    <row r="36" spans="1:21" x14ac:dyDescent="0.2">
      <c r="A36" s="169"/>
      <c r="B36" s="169"/>
      <c r="C36" s="169"/>
      <c r="D36" s="169"/>
      <c r="E36" s="203"/>
      <c r="F36" s="204"/>
      <c r="G36" s="204"/>
      <c r="I36" s="170">
        <f t="shared" si="22"/>
        <v>0</v>
      </c>
      <c r="J36" s="170">
        <f t="shared" si="20"/>
        <v>0</v>
      </c>
      <c r="K36" s="170">
        <f t="shared" si="20"/>
        <v>0</v>
      </c>
      <c r="L36" s="170">
        <f t="shared" si="20"/>
        <v>0</v>
      </c>
      <c r="M36" s="170">
        <f t="shared" si="20"/>
        <v>0</v>
      </c>
      <c r="N36" s="170">
        <f t="shared" si="20"/>
        <v>0</v>
      </c>
      <c r="O36" s="170">
        <f t="shared" si="20"/>
        <v>0</v>
      </c>
      <c r="P36" s="170">
        <f t="shared" si="20"/>
        <v>0</v>
      </c>
      <c r="Q36" s="170">
        <f t="shared" si="20"/>
        <v>0</v>
      </c>
      <c r="R36" s="170">
        <f t="shared" si="20"/>
        <v>0</v>
      </c>
      <c r="S36" s="170">
        <f t="shared" si="20"/>
        <v>0</v>
      </c>
      <c r="T36" s="170">
        <f t="shared" si="20"/>
        <v>0</v>
      </c>
      <c r="U36" s="170">
        <f t="shared" ref="U36:U37" si="23">SUM(I36:T36)</f>
        <v>0</v>
      </c>
    </row>
    <row r="37" spans="1:21" x14ac:dyDescent="0.2">
      <c r="A37" s="169"/>
      <c r="B37" s="169"/>
      <c r="C37" s="169"/>
      <c r="D37" s="169"/>
      <c r="E37" s="203"/>
      <c r="F37" s="204"/>
      <c r="G37" s="204"/>
      <c r="I37" s="170">
        <f t="shared" si="22"/>
        <v>0</v>
      </c>
      <c r="J37" s="170">
        <f t="shared" si="20"/>
        <v>0</v>
      </c>
      <c r="K37" s="170">
        <f t="shared" si="20"/>
        <v>0</v>
      </c>
      <c r="L37" s="170">
        <f t="shared" si="20"/>
        <v>0</v>
      </c>
      <c r="M37" s="170">
        <f t="shared" si="20"/>
        <v>0</v>
      </c>
      <c r="N37" s="170">
        <f t="shared" si="20"/>
        <v>0</v>
      </c>
      <c r="O37" s="170">
        <f t="shared" si="20"/>
        <v>0</v>
      </c>
      <c r="P37" s="170">
        <f t="shared" si="20"/>
        <v>0</v>
      </c>
      <c r="Q37" s="170">
        <f t="shared" si="20"/>
        <v>0</v>
      </c>
      <c r="R37" s="170">
        <f t="shared" si="20"/>
        <v>0</v>
      </c>
      <c r="S37" s="170">
        <f t="shared" si="20"/>
        <v>0</v>
      </c>
      <c r="T37" s="170">
        <f t="shared" si="20"/>
        <v>0</v>
      </c>
      <c r="U37" s="170">
        <f t="shared" si="23"/>
        <v>0</v>
      </c>
    </row>
    <row r="38" spans="1:21" x14ac:dyDescent="0.2">
      <c r="A38" s="169"/>
      <c r="B38" s="169"/>
      <c r="C38" s="169"/>
      <c r="D38" s="169"/>
      <c r="E38" s="203"/>
      <c r="F38" s="204"/>
      <c r="G38" s="204"/>
      <c r="I38" s="170">
        <f t="shared" si="22"/>
        <v>0</v>
      </c>
      <c r="J38" s="170">
        <f t="shared" si="20"/>
        <v>0</v>
      </c>
      <c r="K38" s="170">
        <f t="shared" si="20"/>
        <v>0</v>
      </c>
      <c r="L38" s="170">
        <f t="shared" si="20"/>
        <v>0</v>
      </c>
      <c r="M38" s="170">
        <f t="shared" si="20"/>
        <v>0</v>
      </c>
      <c r="N38" s="170">
        <f t="shared" si="20"/>
        <v>0</v>
      </c>
      <c r="O38" s="170">
        <f t="shared" si="20"/>
        <v>0</v>
      </c>
      <c r="P38" s="170">
        <f t="shared" si="20"/>
        <v>0</v>
      </c>
      <c r="Q38" s="170">
        <f t="shared" si="20"/>
        <v>0</v>
      </c>
      <c r="R38" s="170">
        <f t="shared" si="20"/>
        <v>0</v>
      </c>
      <c r="S38" s="170">
        <f t="shared" si="20"/>
        <v>0</v>
      </c>
      <c r="T38" s="170">
        <f t="shared" si="20"/>
        <v>0</v>
      </c>
      <c r="U38" s="170">
        <f t="shared" si="21"/>
        <v>0</v>
      </c>
    </row>
    <row r="39" spans="1:21" x14ac:dyDescent="0.2">
      <c r="A39" s="169"/>
      <c r="B39" s="169"/>
      <c r="C39" s="169"/>
      <c r="D39" s="169"/>
      <c r="E39" s="203"/>
      <c r="F39" s="204"/>
      <c r="G39" s="204"/>
      <c r="I39" s="170">
        <f t="shared" ref="I39:I47" si="24">IF(AND($F39&lt;=I$12,$G39&gt;I$12),IF($H39="NEY",$E39*$B$7,IF($H39="NIY",$E$6*$E39,$E38*$E$8)),0)</f>
        <v>0</v>
      </c>
      <c r="J39" s="170">
        <f t="shared" ref="J39:J47" si="25">IF(AND($F39&lt;=J$12,$G39&gt;J$12),IF($H39="NEY",$E39*$B$7,IF($H39="NIY",$E$6*$E39,$E38*$E$8)),0)</f>
        <v>0</v>
      </c>
      <c r="K39" s="170">
        <f t="shared" ref="K39:K47" si="26">IF(AND($F39&lt;=K$12,$G39&gt;K$12),IF($H39="NEY",$E39*$B$7,IF($H39="NIY",$E$6*$E39,$E38*$E$8)),0)</f>
        <v>0</v>
      </c>
      <c r="L39" s="170">
        <f t="shared" ref="L39:L47" si="27">IF(AND($F39&lt;=L$12,$G39&gt;L$12),IF($H39="NEY",$E39*$B$7,IF($H39="NIY",$E$6*$E39,$E38*$E$8)),0)</f>
        <v>0</v>
      </c>
      <c r="M39" s="170">
        <f t="shared" ref="M39:M47" si="28">IF(AND($F39&lt;=M$12,$G39&gt;M$12),IF($H39="NEY",$E39*$B$7,IF($H39="NIY",$E$6*$E39,$E38*$E$8)),0)</f>
        <v>0</v>
      </c>
      <c r="N39" s="170">
        <f t="shared" ref="N39:N47" si="29">IF(AND($F39&lt;=N$12,$G39&gt;N$12),IF($H39="NEY",$E39*$B$7,IF($H39="NIY",$E$6*$E39,$E38*$E$8)),0)</f>
        <v>0</v>
      </c>
      <c r="O39" s="170">
        <f t="shared" ref="O39:O47" si="30">IF(AND($F39&lt;=O$12,$G39&gt;O$12),IF($H39="NEY",$E39*$B$7,IF($H39="NIY",$E$6*$E39,$E38*$E$8)),0)</f>
        <v>0</v>
      </c>
      <c r="P39" s="170">
        <f t="shared" ref="P39:P47" si="31">IF(AND($F39&lt;=P$12,$G39&gt;P$12),IF($H39="NEY",$E39*$B$7,IF($H39="NIY",$E$6*$E39,$E38*$E$8)),0)</f>
        <v>0</v>
      </c>
      <c r="Q39" s="170">
        <f t="shared" ref="Q39:Q47" si="32">IF(AND($F39&lt;=Q$12,$G39&gt;Q$12),IF($H39="NEY",$E39*$B$7,IF($H39="NIY",$E$6*$E39,$E38*$E$8)),0)</f>
        <v>0</v>
      </c>
      <c r="R39" s="170">
        <f t="shared" ref="R39:R47" si="33">IF(AND($F39&lt;=R$12,$G39&gt;R$12),IF($H39="NEY",$E39*$B$7,IF($H39="NIY",$E$6*$E39,$E38*$E$8)),0)</f>
        <v>0</v>
      </c>
      <c r="S39" s="170">
        <f t="shared" ref="S39:S47" si="34">IF(AND($F39&lt;=S$12,$G39&gt;S$12),IF($H39="NEY",$E39*$B$7,IF($H39="NIY",$E$6*$E39,$E38*$E$8)),0)</f>
        <v>0</v>
      </c>
      <c r="T39" s="170">
        <f t="shared" ref="T39:T47" si="35">IF(AND($F39&lt;=T$12,$G39&gt;T$12),IF($H39="NEY",$E39*$B$7,IF($H39="NIY",$E$6*$E39,$E38*$E$8)),0)</f>
        <v>0</v>
      </c>
      <c r="U39" s="170">
        <f t="shared" ref="U39:U47" si="36">SUM(I39:T39)</f>
        <v>0</v>
      </c>
    </row>
    <row r="40" spans="1:21" hidden="1" x14ac:dyDescent="0.2">
      <c r="A40" s="169" t="s">
        <v>220</v>
      </c>
      <c r="B40" s="169"/>
      <c r="C40" s="169"/>
      <c r="D40" s="169"/>
      <c r="E40" s="203"/>
      <c r="F40" s="204"/>
      <c r="G40" s="204"/>
      <c r="H40" s="41" t="str">
        <f t="shared" ref="H40:H47" si="37">IF($A40="Negotiated Comp-Capped Fund","NIY",IF($A40="Negotiated Comp-Cap Gap Fund","BYC","NEY"))</f>
        <v>NEY</v>
      </c>
      <c r="I40" s="170">
        <f t="shared" si="24"/>
        <v>0</v>
      </c>
      <c r="J40" s="170">
        <f t="shared" si="25"/>
        <v>0</v>
      </c>
      <c r="K40" s="170">
        <f t="shared" si="26"/>
        <v>0</v>
      </c>
      <c r="L40" s="170">
        <f t="shared" si="27"/>
        <v>0</v>
      </c>
      <c r="M40" s="170">
        <f t="shared" si="28"/>
        <v>0</v>
      </c>
      <c r="N40" s="170">
        <f t="shared" si="29"/>
        <v>0</v>
      </c>
      <c r="O40" s="170">
        <f t="shared" si="30"/>
        <v>0</v>
      </c>
      <c r="P40" s="170">
        <f t="shared" si="31"/>
        <v>0</v>
      </c>
      <c r="Q40" s="170">
        <f t="shared" si="32"/>
        <v>0</v>
      </c>
      <c r="R40" s="170">
        <f t="shared" si="33"/>
        <v>0</v>
      </c>
      <c r="S40" s="170">
        <f t="shared" si="34"/>
        <v>0</v>
      </c>
      <c r="T40" s="170">
        <f t="shared" si="35"/>
        <v>0</v>
      </c>
      <c r="U40" s="170">
        <f t="shared" si="36"/>
        <v>0</v>
      </c>
    </row>
    <row r="41" spans="1:21" hidden="1" x14ac:dyDescent="0.2">
      <c r="A41" s="169" t="s">
        <v>220</v>
      </c>
      <c r="B41" s="169"/>
      <c r="C41" s="169"/>
      <c r="D41" s="169"/>
      <c r="E41" s="203"/>
      <c r="F41" s="204"/>
      <c r="G41" s="204"/>
      <c r="H41" s="41" t="str">
        <f t="shared" si="37"/>
        <v>NEY</v>
      </c>
      <c r="I41" s="170">
        <f t="shared" si="24"/>
        <v>0</v>
      </c>
      <c r="J41" s="170">
        <f t="shared" si="25"/>
        <v>0</v>
      </c>
      <c r="K41" s="170">
        <f t="shared" si="26"/>
        <v>0</v>
      </c>
      <c r="L41" s="170">
        <f t="shared" si="27"/>
        <v>0</v>
      </c>
      <c r="M41" s="170">
        <f t="shared" si="28"/>
        <v>0</v>
      </c>
      <c r="N41" s="170">
        <f t="shared" si="29"/>
        <v>0</v>
      </c>
      <c r="O41" s="170">
        <f t="shared" si="30"/>
        <v>0</v>
      </c>
      <c r="P41" s="170">
        <f t="shared" si="31"/>
        <v>0</v>
      </c>
      <c r="Q41" s="170">
        <f t="shared" si="32"/>
        <v>0</v>
      </c>
      <c r="R41" s="170">
        <f t="shared" si="33"/>
        <v>0</v>
      </c>
      <c r="S41" s="170">
        <f t="shared" si="34"/>
        <v>0</v>
      </c>
      <c r="T41" s="170">
        <f t="shared" si="35"/>
        <v>0</v>
      </c>
      <c r="U41" s="170">
        <f t="shared" si="36"/>
        <v>0</v>
      </c>
    </row>
    <row r="42" spans="1:21" hidden="1" x14ac:dyDescent="0.2">
      <c r="A42" s="169" t="s">
        <v>220</v>
      </c>
      <c r="B42" s="169"/>
      <c r="C42" s="169"/>
      <c r="D42" s="169"/>
      <c r="E42" s="203"/>
      <c r="F42" s="204"/>
      <c r="G42" s="204"/>
      <c r="H42" s="41" t="str">
        <f t="shared" si="37"/>
        <v>NEY</v>
      </c>
      <c r="I42" s="170">
        <f t="shared" si="24"/>
        <v>0</v>
      </c>
      <c r="J42" s="170">
        <f t="shared" si="25"/>
        <v>0</v>
      </c>
      <c r="K42" s="170">
        <f t="shared" si="26"/>
        <v>0</v>
      </c>
      <c r="L42" s="170">
        <f t="shared" si="27"/>
        <v>0</v>
      </c>
      <c r="M42" s="170">
        <f t="shared" si="28"/>
        <v>0</v>
      </c>
      <c r="N42" s="170">
        <f t="shared" si="29"/>
        <v>0</v>
      </c>
      <c r="O42" s="170">
        <f t="shared" si="30"/>
        <v>0</v>
      </c>
      <c r="P42" s="170">
        <f t="shared" si="31"/>
        <v>0</v>
      </c>
      <c r="Q42" s="170">
        <f t="shared" si="32"/>
        <v>0</v>
      </c>
      <c r="R42" s="170">
        <f t="shared" si="33"/>
        <v>0</v>
      </c>
      <c r="S42" s="170">
        <f t="shared" si="34"/>
        <v>0</v>
      </c>
      <c r="T42" s="170">
        <f t="shared" si="35"/>
        <v>0</v>
      </c>
      <c r="U42" s="170">
        <f t="shared" si="36"/>
        <v>0</v>
      </c>
    </row>
    <row r="43" spans="1:21" hidden="1" x14ac:dyDescent="0.2">
      <c r="A43" s="169" t="s">
        <v>220</v>
      </c>
      <c r="B43" s="169"/>
      <c r="C43" s="169"/>
      <c r="D43" s="169"/>
      <c r="E43" s="203"/>
      <c r="F43" s="204"/>
      <c r="G43" s="204"/>
      <c r="H43" s="41" t="str">
        <f t="shared" si="37"/>
        <v>NEY</v>
      </c>
      <c r="I43" s="170">
        <f t="shared" si="24"/>
        <v>0</v>
      </c>
      <c r="J43" s="170">
        <f t="shared" si="25"/>
        <v>0</v>
      </c>
      <c r="K43" s="170">
        <f t="shared" si="26"/>
        <v>0</v>
      </c>
      <c r="L43" s="170">
        <f t="shared" si="27"/>
        <v>0</v>
      </c>
      <c r="M43" s="170">
        <f t="shared" si="28"/>
        <v>0</v>
      </c>
      <c r="N43" s="170">
        <f t="shared" si="29"/>
        <v>0</v>
      </c>
      <c r="O43" s="170">
        <f t="shared" si="30"/>
        <v>0</v>
      </c>
      <c r="P43" s="170">
        <f t="shared" si="31"/>
        <v>0</v>
      </c>
      <c r="Q43" s="170">
        <f t="shared" si="32"/>
        <v>0</v>
      </c>
      <c r="R43" s="170">
        <f t="shared" si="33"/>
        <v>0</v>
      </c>
      <c r="S43" s="170">
        <f t="shared" si="34"/>
        <v>0</v>
      </c>
      <c r="T43" s="170">
        <f t="shared" si="35"/>
        <v>0</v>
      </c>
      <c r="U43" s="170">
        <f t="shared" si="36"/>
        <v>0</v>
      </c>
    </row>
    <row r="44" spans="1:21" hidden="1" x14ac:dyDescent="0.2">
      <c r="A44" s="169" t="s">
        <v>220</v>
      </c>
      <c r="B44" s="169"/>
      <c r="C44" s="169"/>
      <c r="D44" s="169"/>
      <c r="E44" s="203"/>
      <c r="F44" s="204"/>
      <c r="G44" s="204"/>
      <c r="H44" s="41" t="str">
        <f t="shared" si="37"/>
        <v>NEY</v>
      </c>
      <c r="I44" s="170">
        <f t="shared" si="24"/>
        <v>0</v>
      </c>
      <c r="J44" s="170">
        <f t="shared" si="25"/>
        <v>0</v>
      </c>
      <c r="K44" s="170">
        <f t="shared" si="26"/>
        <v>0</v>
      </c>
      <c r="L44" s="170">
        <f t="shared" si="27"/>
        <v>0</v>
      </c>
      <c r="M44" s="170">
        <f t="shared" si="28"/>
        <v>0</v>
      </c>
      <c r="N44" s="170">
        <f t="shared" si="29"/>
        <v>0</v>
      </c>
      <c r="O44" s="170">
        <f t="shared" si="30"/>
        <v>0</v>
      </c>
      <c r="P44" s="170">
        <f t="shared" si="31"/>
        <v>0</v>
      </c>
      <c r="Q44" s="170">
        <f t="shared" si="32"/>
        <v>0</v>
      </c>
      <c r="R44" s="170">
        <f t="shared" si="33"/>
        <v>0</v>
      </c>
      <c r="S44" s="170">
        <f t="shared" si="34"/>
        <v>0</v>
      </c>
      <c r="T44" s="170">
        <f t="shared" si="35"/>
        <v>0</v>
      </c>
      <c r="U44" s="170">
        <f t="shared" si="36"/>
        <v>0</v>
      </c>
    </row>
    <row r="45" spans="1:21" hidden="1" x14ac:dyDescent="0.2">
      <c r="A45" s="169" t="s">
        <v>220</v>
      </c>
      <c r="B45" s="169"/>
      <c r="C45" s="169"/>
      <c r="D45" s="169"/>
      <c r="E45" s="203"/>
      <c r="F45" s="204"/>
      <c r="G45" s="204"/>
      <c r="H45" s="41" t="str">
        <f t="shared" si="37"/>
        <v>NEY</v>
      </c>
      <c r="I45" s="170">
        <f t="shared" si="24"/>
        <v>0</v>
      </c>
      <c r="J45" s="170">
        <f t="shared" si="25"/>
        <v>0</v>
      </c>
      <c r="K45" s="170">
        <f t="shared" si="26"/>
        <v>0</v>
      </c>
      <c r="L45" s="170">
        <f t="shared" si="27"/>
        <v>0</v>
      </c>
      <c r="M45" s="170">
        <f t="shared" si="28"/>
        <v>0</v>
      </c>
      <c r="N45" s="170">
        <f t="shared" si="29"/>
        <v>0</v>
      </c>
      <c r="O45" s="170">
        <f t="shared" si="30"/>
        <v>0</v>
      </c>
      <c r="P45" s="170">
        <f t="shared" si="31"/>
        <v>0</v>
      </c>
      <c r="Q45" s="170">
        <f t="shared" si="32"/>
        <v>0</v>
      </c>
      <c r="R45" s="170">
        <f t="shared" si="33"/>
        <v>0</v>
      </c>
      <c r="S45" s="170">
        <f t="shared" si="34"/>
        <v>0</v>
      </c>
      <c r="T45" s="170">
        <f t="shared" si="35"/>
        <v>0</v>
      </c>
      <c r="U45" s="170">
        <f t="shared" si="36"/>
        <v>0</v>
      </c>
    </row>
    <row r="46" spans="1:21" hidden="1" x14ac:dyDescent="0.2">
      <c r="A46" s="169" t="s">
        <v>220</v>
      </c>
      <c r="B46" s="169"/>
      <c r="C46" s="169"/>
      <c r="D46" s="169"/>
      <c r="E46" s="203"/>
      <c r="F46" s="204"/>
      <c r="G46" s="204"/>
      <c r="H46" s="41" t="str">
        <f t="shared" si="37"/>
        <v>NEY</v>
      </c>
      <c r="I46" s="170">
        <f t="shared" si="24"/>
        <v>0</v>
      </c>
      <c r="J46" s="170">
        <f t="shared" si="25"/>
        <v>0</v>
      </c>
      <c r="K46" s="170">
        <f t="shared" si="26"/>
        <v>0</v>
      </c>
      <c r="L46" s="170">
        <f t="shared" si="27"/>
        <v>0</v>
      </c>
      <c r="M46" s="170">
        <f t="shared" si="28"/>
        <v>0</v>
      </c>
      <c r="N46" s="170">
        <f t="shared" si="29"/>
        <v>0</v>
      </c>
      <c r="O46" s="170">
        <f t="shared" si="30"/>
        <v>0</v>
      </c>
      <c r="P46" s="170">
        <f t="shared" si="31"/>
        <v>0</v>
      </c>
      <c r="Q46" s="170">
        <f t="shared" si="32"/>
        <v>0</v>
      </c>
      <c r="R46" s="170">
        <f t="shared" si="33"/>
        <v>0</v>
      </c>
      <c r="S46" s="170">
        <f t="shared" si="34"/>
        <v>0</v>
      </c>
      <c r="T46" s="170">
        <f t="shared" si="35"/>
        <v>0</v>
      </c>
      <c r="U46" s="170">
        <f t="shared" si="36"/>
        <v>0</v>
      </c>
    </row>
    <row r="47" spans="1:21" hidden="1" x14ac:dyDescent="0.2">
      <c r="A47" s="169" t="s">
        <v>220</v>
      </c>
      <c r="B47" s="169"/>
      <c r="C47" s="169"/>
      <c r="D47" s="169"/>
      <c r="E47" s="169"/>
      <c r="F47" s="204"/>
      <c r="G47" s="204"/>
      <c r="H47" s="41" t="str">
        <f t="shared" si="37"/>
        <v>NEY</v>
      </c>
      <c r="I47" s="170">
        <f t="shared" si="24"/>
        <v>0</v>
      </c>
      <c r="J47" s="170">
        <f t="shared" si="25"/>
        <v>0</v>
      </c>
      <c r="K47" s="170">
        <f t="shared" si="26"/>
        <v>0</v>
      </c>
      <c r="L47" s="170">
        <f t="shared" si="27"/>
        <v>0</v>
      </c>
      <c r="M47" s="170">
        <f t="shared" si="28"/>
        <v>0</v>
      </c>
      <c r="N47" s="170">
        <f t="shared" si="29"/>
        <v>0</v>
      </c>
      <c r="O47" s="170">
        <f t="shared" si="30"/>
        <v>0</v>
      </c>
      <c r="P47" s="170">
        <f t="shared" si="31"/>
        <v>0</v>
      </c>
      <c r="Q47" s="170">
        <f t="shared" si="32"/>
        <v>0</v>
      </c>
      <c r="R47" s="170">
        <f t="shared" si="33"/>
        <v>0</v>
      </c>
      <c r="S47" s="170">
        <f t="shared" si="34"/>
        <v>0</v>
      </c>
      <c r="T47" s="170">
        <f t="shared" si="35"/>
        <v>0</v>
      </c>
      <c r="U47" s="170">
        <f t="shared" si="36"/>
        <v>0</v>
      </c>
    </row>
    <row r="48" spans="1:21" x14ac:dyDescent="0.2">
      <c r="E48" s="195"/>
      <c r="I48" s="170"/>
      <c r="J48" s="170"/>
      <c r="K48" s="170"/>
      <c r="L48" s="170"/>
      <c r="M48" s="170"/>
      <c r="N48" s="170"/>
      <c r="O48" s="170"/>
      <c r="P48" s="170"/>
      <c r="Q48" s="170"/>
      <c r="R48" s="170"/>
      <c r="S48" s="170"/>
      <c r="T48" s="170"/>
      <c r="U48" s="170"/>
    </row>
    <row r="49" spans="1:21" x14ac:dyDescent="0.2">
      <c r="E49" s="195"/>
      <c r="G49" s="125" t="s">
        <v>227</v>
      </c>
      <c r="H49" s="196"/>
      <c r="I49" s="197">
        <f>SUM(I33:I48)</f>
        <v>0</v>
      </c>
      <c r="J49" s="197">
        <f t="shared" ref="J49:U49" si="38">SUM(J33:J48)</f>
        <v>0</v>
      </c>
      <c r="K49" s="197">
        <f t="shared" si="38"/>
        <v>0</v>
      </c>
      <c r="L49" s="197">
        <f t="shared" si="38"/>
        <v>0</v>
      </c>
      <c r="M49" s="197">
        <f t="shared" si="38"/>
        <v>0</v>
      </c>
      <c r="N49" s="197">
        <f t="shared" si="38"/>
        <v>0</v>
      </c>
      <c r="O49" s="197">
        <f t="shared" si="38"/>
        <v>0</v>
      </c>
      <c r="P49" s="197">
        <f t="shared" si="38"/>
        <v>0</v>
      </c>
      <c r="Q49" s="197">
        <f t="shared" si="38"/>
        <v>0</v>
      </c>
      <c r="R49" s="197">
        <f t="shared" si="38"/>
        <v>0</v>
      </c>
      <c r="S49" s="197">
        <f t="shared" si="38"/>
        <v>0</v>
      </c>
      <c r="T49" s="197">
        <f t="shared" si="38"/>
        <v>0</v>
      </c>
      <c r="U49" s="197">
        <f t="shared" si="38"/>
        <v>0</v>
      </c>
    </row>
    <row r="50" spans="1:21" x14ac:dyDescent="0.2">
      <c r="E50" s="195"/>
      <c r="G50" s="125" t="s">
        <v>228</v>
      </c>
      <c r="H50" s="196"/>
      <c r="I50" s="197">
        <f>ROUND($B$6/12,2)</f>
        <v>0</v>
      </c>
      <c r="J50" s="197">
        <f t="shared" ref="J50:T50" si="39">ROUND($B$6/12,2)</f>
        <v>0</v>
      </c>
      <c r="K50" s="197">
        <f t="shared" si="39"/>
        <v>0</v>
      </c>
      <c r="L50" s="197">
        <f t="shared" si="39"/>
        <v>0</v>
      </c>
      <c r="M50" s="197">
        <f t="shared" si="39"/>
        <v>0</v>
      </c>
      <c r="N50" s="197">
        <f t="shared" si="39"/>
        <v>0</v>
      </c>
      <c r="O50" s="197">
        <f t="shared" si="39"/>
        <v>0</v>
      </c>
      <c r="P50" s="197">
        <f t="shared" si="39"/>
        <v>0</v>
      </c>
      <c r="Q50" s="197">
        <f t="shared" si="39"/>
        <v>0</v>
      </c>
      <c r="R50" s="197">
        <f t="shared" si="39"/>
        <v>0</v>
      </c>
      <c r="S50" s="197">
        <f t="shared" si="39"/>
        <v>0</v>
      </c>
      <c r="T50" s="197">
        <f t="shared" si="39"/>
        <v>0</v>
      </c>
      <c r="U50" s="197">
        <f>SUM(I50:T50)</f>
        <v>0</v>
      </c>
    </row>
    <row r="51" spans="1:21" x14ac:dyDescent="0.2">
      <c r="E51" s="195"/>
      <c r="G51" s="125" t="s">
        <v>223</v>
      </c>
      <c r="H51" s="196"/>
      <c r="I51" s="197">
        <f>I50-I49</f>
        <v>0</v>
      </c>
      <c r="J51" s="197">
        <f t="shared" ref="J51" si="40">J50-J49</f>
        <v>0</v>
      </c>
      <c r="K51" s="197">
        <f t="shared" ref="K51" si="41">K50-K49</f>
        <v>0</v>
      </c>
      <c r="L51" s="197">
        <f t="shared" ref="L51" si="42">L50-L49</f>
        <v>0</v>
      </c>
      <c r="M51" s="197">
        <f t="shared" ref="M51" si="43">M50-M49</f>
        <v>0</v>
      </c>
      <c r="N51" s="197">
        <f t="shared" ref="N51" si="44">N50-N49</f>
        <v>0</v>
      </c>
      <c r="O51" s="197">
        <f t="shared" ref="O51" si="45">O50-O49</f>
        <v>0</v>
      </c>
      <c r="P51" s="197">
        <f t="shared" ref="P51" si="46">P50-P49</f>
        <v>0</v>
      </c>
      <c r="Q51" s="197">
        <f t="shared" ref="Q51" si="47">Q50-Q49</f>
        <v>0</v>
      </c>
      <c r="R51" s="197">
        <f t="shared" ref="R51" si="48">R50-R49</f>
        <v>0</v>
      </c>
      <c r="S51" s="197">
        <f t="shared" ref="S51" si="49">S50-S49</f>
        <v>0</v>
      </c>
      <c r="T51" s="197">
        <f t="shared" ref="T51" si="50">T50-T49</f>
        <v>0</v>
      </c>
      <c r="U51" s="197">
        <f t="shared" ref="U51" si="51">U50-U49</f>
        <v>0</v>
      </c>
    </row>
    <row r="52" spans="1:21" x14ac:dyDescent="0.2">
      <c r="E52" s="195"/>
      <c r="G52" s="125"/>
      <c r="H52" s="196"/>
      <c r="I52" s="197"/>
      <c r="J52" s="197"/>
      <c r="K52" s="197"/>
      <c r="L52" s="197"/>
      <c r="M52" s="197"/>
      <c r="N52" s="197"/>
      <c r="O52" s="197"/>
      <c r="P52" s="197"/>
      <c r="Q52" s="197"/>
      <c r="R52" s="197"/>
      <c r="S52" s="197"/>
      <c r="T52" s="197"/>
      <c r="U52" s="197"/>
    </row>
    <row r="53" spans="1:21" x14ac:dyDescent="0.2">
      <c r="E53" s="195"/>
      <c r="G53" s="125"/>
      <c r="H53" s="196"/>
      <c r="I53" s="197"/>
      <c r="J53" s="197"/>
      <c r="K53" s="197"/>
      <c r="L53" s="197"/>
      <c r="M53" s="197"/>
      <c r="N53" s="197"/>
      <c r="O53" s="197"/>
      <c r="P53" s="197"/>
      <c r="Q53" s="197"/>
      <c r="R53" s="197"/>
      <c r="S53" s="197"/>
      <c r="T53" s="197"/>
      <c r="U53" s="197"/>
    </row>
    <row r="54" spans="1:21" x14ac:dyDescent="0.2">
      <c r="E54" s="195"/>
      <c r="G54" s="198" t="s">
        <v>229</v>
      </c>
      <c r="I54" s="170">
        <f>I29+I49</f>
        <v>0</v>
      </c>
      <c r="J54" s="170">
        <f t="shared" ref="J54:T54" si="52">J29+J49</f>
        <v>0</v>
      </c>
      <c r="K54" s="170">
        <f t="shared" si="52"/>
        <v>0</v>
      </c>
      <c r="L54" s="170">
        <f t="shared" si="52"/>
        <v>0</v>
      </c>
      <c r="M54" s="170">
        <f t="shared" si="52"/>
        <v>0</v>
      </c>
      <c r="N54" s="170">
        <f t="shared" si="52"/>
        <v>0</v>
      </c>
      <c r="O54" s="170">
        <f t="shared" si="52"/>
        <v>0</v>
      </c>
      <c r="P54" s="170">
        <f t="shared" si="52"/>
        <v>0</v>
      </c>
      <c r="Q54" s="170">
        <f t="shared" si="52"/>
        <v>0</v>
      </c>
      <c r="R54" s="170">
        <f t="shared" si="52"/>
        <v>0</v>
      </c>
      <c r="S54" s="170">
        <f t="shared" si="52"/>
        <v>0</v>
      </c>
      <c r="T54" s="170">
        <f t="shared" si="52"/>
        <v>0</v>
      </c>
      <c r="U54" s="170">
        <f>SUM(I54:T54)</f>
        <v>0</v>
      </c>
    </row>
    <row r="55" spans="1:21" x14ac:dyDescent="0.2">
      <c r="E55" s="195"/>
      <c r="G55" s="198" t="s">
        <v>223</v>
      </c>
      <c r="I55" s="170">
        <f>$B$7-I54</f>
        <v>0</v>
      </c>
      <c r="J55" s="170">
        <f t="shared" ref="J55:T55" si="53">$B$7-J54</f>
        <v>0</v>
      </c>
      <c r="K55" s="170">
        <f t="shared" si="53"/>
        <v>0</v>
      </c>
      <c r="L55" s="170">
        <f t="shared" si="53"/>
        <v>0</v>
      </c>
      <c r="M55" s="170">
        <f t="shared" si="53"/>
        <v>0</v>
      </c>
      <c r="N55" s="170">
        <f t="shared" si="53"/>
        <v>0</v>
      </c>
      <c r="O55" s="170">
        <f t="shared" si="53"/>
        <v>0</v>
      </c>
      <c r="P55" s="170">
        <f t="shared" si="53"/>
        <v>0</v>
      </c>
      <c r="Q55" s="170">
        <f t="shared" si="53"/>
        <v>0</v>
      </c>
      <c r="R55" s="170">
        <f t="shared" si="53"/>
        <v>0</v>
      </c>
      <c r="S55" s="170">
        <f t="shared" si="53"/>
        <v>0</v>
      </c>
      <c r="T55" s="170">
        <f t="shared" si="53"/>
        <v>0</v>
      </c>
      <c r="U55" s="170">
        <f>SUM(I55:T55)</f>
        <v>0</v>
      </c>
    </row>
    <row r="56" spans="1:21" x14ac:dyDescent="0.2">
      <c r="E56" s="195"/>
    </row>
    <row r="57" spans="1:21" x14ac:dyDescent="0.2">
      <c r="E57" s="195"/>
      <c r="G57" s="125" t="s">
        <v>240</v>
      </c>
      <c r="I57" s="206">
        <f t="array" ref="I57">SUM(IF((I13:I28&gt;0),$E$13:$E$28,0))+SUM(IF((I33:I48&gt;0),$E$33:$E$48,0))</f>
        <v>0</v>
      </c>
      <c r="J57" s="206">
        <f t="array" ref="J57">SUM(IF((J13:J28&gt;0),$E$13:$E$28,0))+SUM(IF((J33:J48&gt;0),$E$33:$E$48,0))</f>
        <v>0</v>
      </c>
      <c r="K57" s="206">
        <f t="array" ref="K57">SUM(IF((K13:K28&gt;0),$E$13:$E$28,0))+SUM(IF((K33:K48&gt;0),$E$33:$E$48,0))</f>
        <v>0</v>
      </c>
      <c r="L57" s="206">
        <f t="array" ref="L57">SUM(IF((L13:L28&gt;0),$E$13:$E$28,0))+SUM(IF((L33:L48&gt;0),$E$33:$E$48,0))</f>
        <v>0</v>
      </c>
      <c r="M57" s="206">
        <f t="array" ref="M57">SUM(IF((M13:M28&gt;0),$E$13:$E$28,0))+SUM(IF((M33:M48&gt;0),$E$33:$E$48,0))</f>
        <v>0</v>
      </c>
      <c r="N57" s="206">
        <f t="array" ref="N57">SUM(IF((N13:N28&gt;0),$E$13:$E$28,0))+SUM(IF((N33:N48&gt;0),$E$33:$E$48,0))</f>
        <v>0</v>
      </c>
      <c r="O57" s="206">
        <f t="array" ref="O57">SUM(IF((O13:O28&gt;0),$E$13:$E$28,0))+SUM(IF((O33:O48&gt;0),$E$33:$E$48,0))</f>
        <v>0</v>
      </c>
      <c r="P57" s="206">
        <f t="array" ref="P57">SUM(IF((P13:P28&gt;0),$E$13:$E$28,0))+SUM(IF((P33:P48&gt;0),$E$33:$E$48,0))</f>
        <v>0</v>
      </c>
      <c r="Q57" s="206">
        <f t="array" ref="Q57">SUM(IF((Q13:Q28&gt;0),$E$13:$E$28,0))+SUM(IF((Q33:Q48&gt;0),$E$33:$E$48,0))</f>
        <v>0</v>
      </c>
      <c r="R57" s="206">
        <f t="array" ref="R57">SUM(IF((R13:R28&gt;0),$E$13:$E$28,0))+SUM(IF((R33:R48&gt;0),$E$33:$E$48,0))</f>
        <v>0</v>
      </c>
      <c r="S57" s="206">
        <f t="array" ref="S57">SUM(IF((S13:S28&gt;0),$E$13:$E$28,0))+SUM(IF((S33:S48&gt;0),$E$33:$E$48,0))</f>
        <v>0</v>
      </c>
      <c r="T57" s="206">
        <f t="array" ref="T57">SUM(IF((T13:T28&gt;0),$E$13:$E$28,0))+SUM(IF((T33:T48&gt;0),$E$33:$E$48,0))</f>
        <v>0</v>
      </c>
      <c r="U57" s="23"/>
    </row>
    <row r="58" spans="1:21" x14ac:dyDescent="0.2">
      <c r="A58" s="92" t="s">
        <v>124</v>
      </c>
      <c r="B58" s="82"/>
      <c r="C58" s="83"/>
      <c r="D58" s="77"/>
      <c r="E58" s="77"/>
      <c r="F58" s="77"/>
    </row>
    <row r="59" spans="1:21" x14ac:dyDescent="0.2">
      <c r="A59" s="84"/>
      <c r="B59" s="85"/>
      <c r="C59" s="86"/>
      <c r="D59" s="77"/>
      <c r="E59" s="77"/>
      <c r="F59" s="77"/>
    </row>
    <row r="60" spans="1:21" x14ac:dyDescent="0.2">
      <c r="A60" s="91" t="s">
        <v>146</v>
      </c>
      <c r="B60" s="85"/>
      <c r="C60" s="86"/>
      <c r="D60" s="77"/>
      <c r="E60" s="77"/>
      <c r="F60" s="77"/>
    </row>
    <row r="61" spans="1:21" x14ac:dyDescent="0.2">
      <c r="A61" s="84"/>
      <c r="B61" s="85"/>
      <c r="C61" s="86"/>
      <c r="D61" s="77"/>
      <c r="E61" s="77"/>
      <c r="F61" s="77"/>
    </row>
    <row r="62" spans="1:21" x14ac:dyDescent="0.2">
      <c r="A62" s="84" t="s">
        <v>120</v>
      </c>
      <c r="B62" s="87"/>
      <c r="C62" s="86"/>
      <c r="D62" s="77"/>
      <c r="E62" s="77"/>
      <c r="F62" s="77"/>
    </row>
    <row r="63" spans="1:21" x14ac:dyDescent="0.2">
      <c r="A63" s="84" t="s">
        <v>121</v>
      </c>
      <c r="B63" s="85"/>
      <c r="C63" s="86"/>
      <c r="D63" s="77"/>
      <c r="E63" s="77"/>
      <c r="F63" s="77"/>
    </row>
    <row r="64" spans="1:21" x14ac:dyDescent="0.2">
      <c r="A64" s="84" t="s">
        <v>122</v>
      </c>
      <c r="B64" s="87"/>
      <c r="C64" s="86"/>
      <c r="D64" s="77"/>
      <c r="E64" s="77"/>
      <c r="F64" s="77"/>
    </row>
    <row r="65" spans="1:6" x14ac:dyDescent="0.2">
      <c r="A65" s="84" t="s">
        <v>123</v>
      </c>
      <c r="B65" s="85" t="e">
        <f>ROUND(B62/B63/B64,4)</f>
        <v>#DIV/0!</v>
      </c>
      <c r="C65" s="86"/>
      <c r="D65" s="77"/>
      <c r="E65" s="77"/>
      <c r="F65" s="77"/>
    </row>
    <row r="66" spans="1:6" x14ac:dyDescent="0.2">
      <c r="A66" s="84"/>
      <c r="B66" s="85"/>
      <c r="C66" s="86"/>
      <c r="D66" s="77"/>
      <c r="E66" s="77"/>
      <c r="F66" s="77"/>
    </row>
    <row r="67" spans="1:6" x14ac:dyDescent="0.2">
      <c r="A67" s="84" t="s">
        <v>119</v>
      </c>
      <c r="B67" s="87" t="e">
        <f>ROUND(B65*B64,2)*B63</f>
        <v>#DIV/0!</v>
      </c>
      <c r="C67" s="86"/>
      <c r="D67" s="77"/>
      <c r="E67" s="77"/>
      <c r="F67" s="77"/>
    </row>
    <row r="68" spans="1:6" x14ac:dyDescent="0.2">
      <c r="A68" s="88"/>
      <c r="B68" s="89"/>
      <c r="C68" s="90"/>
      <c r="D68" s="77"/>
      <c r="E68" s="77"/>
      <c r="F68" s="77"/>
    </row>
  </sheetData>
  <pageMargins left="0.7" right="0.7" top="0.75" bottom="0.75" header="0.3" footer="0.3"/>
  <pageSetup paperSize="5" scale="48" fitToHeight="0" orientation="landscape" r:id="rId1"/>
  <drawing r:id="rId2"/>
  <extLst>
    <ext xmlns:x14="http://schemas.microsoft.com/office/spreadsheetml/2009/9/main" uri="{CCE6A557-97BC-4b89-ADB6-D9C93CAAB3DF}">
      <x14:dataValidations xmlns:xm="http://schemas.microsoft.com/office/excel/2006/main" xWindow="361" yWindow="455" count="4">
        <x14:dataValidation type="list" errorStyle="warning" allowBlank="1" showErrorMessage="1" error="Please check fund type!" prompt="Please enter fund type">
          <x14:formula1>
            <xm:f>DropDown!$E$3:$E$14</xm:f>
          </x14:formula1>
          <xm:sqref>D13:D27</xm:sqref>
        </x14:dataValidation>
        <x14:dataValidation type="list" errorStyle="warning" allowBlank="1" showInputMessage="1" showErrorMessage="1" error="Please check fund type!" promptTitle="Negotiated Salary Fund Type" prompt="Please enter fund type.  General funds and student tuition funds are not allowed.">
          <x14:formula1>
            <xm:f>DropDown!$F$3:$F$12</xm:f>
          </x14:formula1>
          <xm:sqref>D47:E47 D33:D46</xm:sqref>
        </x14:dataValidation>
        <x14:dataValidation type="list" allowBlank="1" showInputMessage="1" showErrorMessage="1">
          <x14:formula1>
            <xm:f>DropDown!$G$3:$G$5</xm:f>
          </x14:formula1>
          <xm:sqref>A13:A27</xm:sqref>
        </x14:dataValidation>
        <x14:dataValidation type="list" allowBlank="1" showInputMessage="1" showErrorMessage="1">
          <x14:formula1>
            <xm:f>DropDown!$H$3:$H$5</xm:f>
          </x14:formula1>
          <xm:sqref>A33:A47</xm:sqref>
        </x14:dataValidation>
      </x14:dataValidations>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enableFormatConditionsCalculation="0">
    <pageSetUpPr fitToPage="1"/>
  </sheetPr>
  <dimension ref="A1:I71"/>
  <sheetViews>
    <sheetView topLeftCell="K1" workbookViewId="0">
      <selection activeCell="E26" sqref="E26"/>
    </sheetView>
  </sheetViews>
  <sheetFormatPr baseColWidth="10" defaultColWidth="8.83203125" defaultRowHeight="15" x14ac:dyDescent="0.2"/>
  <cols>
    <col min="1" max="1" width="56.83203125" customWidth="1"/>
    <col min="2" max="2" width="11.1640625" bestFit="1" customWidth="1"/>
    <col min="6" max="6" width="11.83203125" customWidth="1"/>
    <col min="7" max="7" width="12" customWidth="1"/>
    <col min="8" max="8" width="12.33203125" customWidth="1"/>
    <col min="9" max="9" width="7.5" customWidth="1"/>
    <col min="15" max="15" width="12.1640625" customWidth="1"/>
  </cols>
  <sheetData>
    <row r="1" spans="1:9" ht="19" x14ac:dyDescent="0.25">
      <c r="A1" s="17" t="s">
        <v>147</v>
      </c>
    </row>
    <row r="5" spans="1:9" x14ac:dyDescent="0.2">
      <c r="A5" s="92" t="s">
        <v>124</v>
      </c>
      <c r="B5" s="83"/>
      <c r="D5" s="183" t="s">
        <v>194</v>
      </c>
      <c r="E5" s="171"/>
      <c r="F5" s="171"/>
      <c r="G5" s="171"/>
      <c r="H5" s="171"/>
      <c r="I5" s="172"/>
    </row>
    <row r="6" spans="1:9" x14ac:dyDescent="0.2">
      <c r="A6" s="84"/>
      <c r="B6" s="86"/>
      <c r="D6" s="173"/>
      <c r="E6" s="174"/>
      <c r="F6" s="174"/>
      <c r="G6" s="174"/>
      <c r="H6" s="174"/>
      <c r="I6" s="175"/>
    </row>
    <row r="7" spans="1:9" x14ac:dyDescent="0.2">
      <c r="A7" s="91" t="s">
        <v>146</v>
      </c>
      <c r="B7" s="86"/>
      <c r="D7" s="173"/>
      <c r="E7" s="176" t="s">
        <v>188</v>
      </c>
      <c r="F7" s="174"/>
      <c r="G7" s="174"/>
      <c r="H7" s="177"/>
      <c r="I7" s="175"/>
    </row>
    <row r="8" spans="1:9" x14ac:dyDescent="0.2">
      <c r="A8" s="84"/>
      <c r="B8" s="86"/>
      <c r="D8" s="173"/>
      <c r="E8" s="178" t="s">
        <v>192</v>
      </c>
      <c r="F8" s="174"/>
      <c r="G8" s="174"/>
      <c r="H8" s="177"/>
      <c r="I8" s="175"/>
    </row>
    <row r="9" spans="1:9" x14ac:dyDescent="0.2">
      <c r="A9" s="84" t="s">
        <v>120</v>
      </c>
      <c r="B9" s="157"/>
      <c r="D9" s="173"/>
      <c r="E9" s="176" t="s">
        <v>187</v>
      </c>
      <c r="F9" s="174"/>
      <c r="G9" s="174"/>
      <c r="H9" s="177">
        <f>H7-H8</f>
        <v>0</v>
      </c>
      <c r="I9" s="175"/>
    </row>
    <row r="10" spans="1:9" x14ac:dyDescent="0.2">
      <c r="A10" s="84" t="s">
        <v>121</v>
      </c>
      <c r="B10" s="86"/>
      <c r="D10" s="173"/>
      <c r="E10" s="176" t="s">
        <v>190</v>
      </c>
      <c r="F10" s="174"/>
      <c r="G10" s="174"/>
      <c r="H10" s="177"/>
      <c r="I10" s="175"/>
    </row>
    <row r="11" spans="1:9" x14ac:dyDescent="0.2">
      <c r="A11" s="84" t="s">
        <v>122</v>
      </c>
      <c r="B11" s="157"/>
      <c r="D11" s="173"/>
      <c r="E11" s="176" t="s">
        <v>191</v>
      </c>
      <c r="F11" s="174"/>
      <c r="G11" s="174"/>
      <c r="H11" s="186">
        <f>H9-H10</f>
        <v>0</v>
      </c>
      <c r="I11" s="175"/>
    </row>
    <row r="12" spans="1:9" x14ac:dyDescent="0.2">
      <c r="A12" s="84" t="s">
        <v>123</v>
      </c>
      <c r="B12" s="86" t="e">
        <f>ROUND(B9/B10/B11,4)</f>
        <v>#DIV/0!</v>
      </c>
      <c r="D12" s="173"/>
      <c r="E12" s="174"/>
      <c r="F12" s="174"/>
      <c r="G12" s="174"/>
      <c r="H12" s="177"/>
      <c r="I12" s="175"/>
    </row>
    <row r="13" spans="1:9" x14ac:dyDescent="0.2">
      <c r="A13" s="84"/>
      <c r="B13" s="86"/>
      <c r="D13" s="173"/>
      <c r="E13" s="176" t="s">
        <v>189</v>
      </c>
      <c r="F13" s="174"/>
      <c r="G13" s="174"/>
      <c r="H13" s="177"/>
      <c r="I13" s="175"/>
    </row>
    <row r="14" spans="1:9" x14ac:dyDescent="0.2">
      <c r="A14" s="84" t="s">
        <v>119</v>
      </c>
      <c r="B14" s="157" t="e">
        <f>ROUND(B12*B11,2)*B10</f>
        <v>#DIV/0!</v>
      </c>
      <c r="D14" s="173"/>
      <c r="E14" s="176" t="s">
        <v>193</v>
      </c>
      <c r="F14" s="174"/>
      <c r="G14" s="174"/>
      <c r="H14" s="177"/>
      <c r="I14" s="175"/>
    </row>
    <row r="15" spans="1:9" x14ac:dyDescent="0.2">
      <c r="A15" s="88"/>
      <c r="B15" s="90"/>
      <c r="D15" s="173"/>
      <c r="E15" s="176" t="s">
        <v>191</v>
      </c>
      <c r="F15" s="174"/>
      <c r="G15" s="174"/>
      <c r="H15" s="186">
        <f>H13-H14</f>
        <v>0</v>
      </c>
      <c r="I15" s="175"/>
    </row>
    <row r="16" spans="1:9" x14ac:dyDescent="0.2">
      <c r="D16" s="179"/>
      <c r="E16" s="180"/>
      <c r="F16" s="180"/>
      <c r="G16" s="180"/>
      <c r="H16" s="181"/>
      <c r="I16" s="182"/>
    </row>
    <row r="18" spans="1:9" x14ac:dyDescent="0.2">
      <c r="A18" s="94" t="s">
        <v>129</v>
      </c>
      <c r="B18" s="96"/>
      <c r="D18" s="189"/>
      <c r="E18" s="190" t="s">
        <v>200</v>
      </c>
      <c r="F18" s="95"/>
      <c r="G18" s="95"/>
      <c r="H18" s="95"/>
      <c r="I18" s="96"/>
    </row>
    <row r="19" spans="1:9" x14ac:dyDescent="0.2">
      <c r="A19" s="97"/>
      <c r="B19" s="99"/>
      <c r="D19" s="97"/>
      <c r="E19" s="98"/>
      <c r="F19" s="98"/>
      <c r="G19" s="98"/>
      <c r="H19" s="98"/>
      <c r="I19" s="99"/>
    </row>
    <row r="20" spans="1:9" x14ac:dyDescent="0.2">
      <c r="A20" s="114" t="s">
        <v>125</v>
      </c>
      <c r="B20" s="99"/>
      <c r="D20" s="97"/>
      <c r="E20" s="98"/>
      <c r="F20" s="98"/>
      <c r="G20" s="98"/>
      <c r="H20" s="98"/>
      <c r="I20" s="99"/>
    </row>
    <row r="21" spans="1:9" x14ac:dyDescent="0.2">
      <c r="A21" s="97"/>
      <c r="B21" s="99"/>
      <c r="D21" s="97"/>
      <c r="E21" s="191" t="s">
        <v>197</v>
      </c>
      <c r="F21" s="191" t="s">
        <v>198</v>
      </c>
      <c r="G21" s="191" t="s">
        <v>199</v>
      </c>
      <c r="H21" s="98"/>
      <c r="I21" s="99"/>
    </row>
    <row r="22" spans="1:9" x14ac:dyDescent="0.2">
      <c r="A22" s="97" t="s">
        <v>126</v>
      </c>
      <c r="B22" s="100"/>
      <c r="D22" s="97"/>
      <c r="E22" s="103"/>
      <c r="F22" s="188" t="s">
        <v>201</v>
      </c>
      <c r="G22" s="188" t="s">
        <v>202</v>
      </c>
      <c r="H22" s="98"/>
      <c r="I22" s="99"/>
    </row>
    <row r="23" spans="1:9" x14ac:dyDescent="0.2">
      <c r="A23" s="97"/>
      <c r="B23" s="99"/>
      <c r="D23" s="97"/>
      <c r="E23" s="192">
        <v>179700</v>
      </c>
      <c r="F23" s="193">
        <f>ROUND(E23/12*0.75,2)</f>
        <v>11231.25</v>
      </c>
      <c r="G23" s="193">
        <f>ROUND(E23/12,2)</f>
        <v>14975</v>
      </c>
      <c r="H23" s="98"/>
      <c r="I23" s="99"/>
    </row>
    <row r="24" spans="1:9" x14ac:dyDescent="0.2">
      <c r="A24" s="97" t="s">
        <v>127</v>
      </c>
      <c r="B24" s="101">
        <f>B22/12*3/4</f>
        <v>0</v>
      </c>
      <c r="D24" s="97"/>
      <c r="E24" s="192">
        <v>181500</v>
      </c>
      <c r="F24" s="193">
        <f>ROUND(E24/12*0.75,2)</f>
        <v>11343.75</v>
      </c>
      <c r="G24" s="193">
        <f>ROUND(E24/12,2)</f>
        <v>15125</v>
      </c>
      <c r="H24" s="98"/>
      <c r="I24" s="99"/>
    </row>
    <row r="25" spans="1:9" x14ac:dyDescent="0.2">
      <c r="A25" s="97" t="s">
        <v>128</v>
      </c>
      <c r="B25" s="101">
        <f>B22/12</f>
        <v>0</v>
      </c>
      <c r="D25" s="97"/>
      <c r="E25" s="192">
        <v>183300</v>
      </c>
      <c r="F25" s="193">
        <f>ROUND(E25/12*0.75,2)</f>
        <v>11456.25</v>
      </c>
      <c r="G25" s="193">
        <f>ROUND(E25/12,2)</f>
        <v>15275</v>
      </c>
      <c r="H25" s="98"/>
      <c r="I25" s="99"/>
    </row>
    <row r="26" spans="1:9" x14ac:dyDescent="0.2">
      <c r="A26" s="102"/>
      <c r="B26" s="104"/>
      <c r="D26" s="102"/>
      <c r="E26" s="220">
        <v>185100</v>
      </c>
      <c r="F26" s="221">
        <f>ROUND(E26/12*0.75,2)</f>
        <v>11568.75</v>
      </c>
      <c r="G26" s="221">
        <f>ROUND(E26/12,2)</f>
        <v>15425</v>
      </c>
      <c r="H26" s="103"/>
      <c r="I26" s="104"/>
    </row>
    <row r="29" spans="1:9" x14ac:dyDescent="0.2">
      <c r="A29" s="105" t="s">
        <v>130</v>
      </c>
      <c r="B29" s="107"/>
    </row>
    <row r="30" spans="1:9" x14ac:dyDescent="0.2">
      <c r="A30" s="108"/>
      <c r="B30" s="110"/>
    </row>
    <row r="31" spans="1:9" x14ac:dyDescent="0.2">
      <c r="A31" s="115" t="s">
        <v>131</v>
      </c>
      <c r="B31" s="110"/>
    </row>
    <row r="32" spans="1:9" x14ac:dyDescent="0.2">
      <c r="A32" s="108"/>
      <c r="B32" s="110"/>
    </row>
    <row r="33" spans="1:2" x14ac:dyDescent="0.2">
      <c r="A33" s="108" t="s">
        <v>132</v>
      </c>
      <c r="B33" s="158"/>
    </row>
    <row r="34" spans="1:2" x14ac:dyDescent="0.2">
      <c r="A34" s="108" t="s">
        <v>133</v>
      </c>
      <c r="B34" s="158"/>
    </row>
    <row r="35" spans="1:2" x14ac:dyDescent="0.2">
      <c r="A35" s="108" t="s">
        <v>134</v>
      </c>
      <c r="B35" s="159"/>
    </row>
    <row r="36" spans="1:2" x14ac:dyDescent="0.2">
      <c r="A36" s="108" t="s">
        <v>135</v>
      </c>
      <c r="B36" s="158">
        <f>ROUND((B33-B34)*B35,2)</f>
        <v>0</v>
      </c>
    </row>
    <row r="37" spans="1:2" x14ac:dyDescent="0.2">
      <c r="A37" s="108"/>
      <c r="B37" s="110"/>
    </row>
    <row r="38" spans="1:2" x14ac:dyDescent="0.2">
      <c r="A38" s="108" t="s">
        <v>137</v>
      </c>
      <c r="B38" s="158">
        <f>ROUND(B34*B35,2)+B36</f>
        <v>0</v>
      </c>
    </row>
    <row r="39" spans="1:2" x14ac:dyDescent="0.2">
      <c r="A39" s="108" t="s">
        <v>136</v>
      </c>
      <c r="B39" s="158">
        <f>ROUND(B35*B33,2)</f>
        <v>0</v>
      </c>
    </row>
    <row r="40" spans="1:2" x14ac:dyDescent="0.2">
      <c r="A40" s="111"/>
      <c r="B40" s="113"/>
    </row>
    <row r="57" spans="1:2" x14ac:dyDescent="0.2">
      <c r="A57" s="23"/>
      <c r="B57" s="23"/>
    </row>
    <row r="71" spans="1:2" x14ac:dyDescent="0.2">
      <c r="A71" s="23"/>
      <c r="B71" s="23"/>
    </row>
  </sheetData>
  <pageMargins left="0.7" right="0.7" top="0.75" bottom="0.75" header="0.3" footer="0.3"/>
  <pageSetup scale="86"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33"/>
  <sheetViews>
    <sheetView workbookViewId="0"/>
  </sheetViews>
  <sheetFormatPr baseColWidth="10" defaultColWidth="12.5" defaultRowHeight="16" x14ac:dyDescent="0.2"/>
  <cols>
    <col min="1" max="1" width="11.33203125" style="126" customWidth="1"/>
    <col min="2" max="2" width="13.5" style="126" customWidth="1"/>
    <col min="3" max="3" width="16.1640625" style="126" customWidth="1"/>
    <col min="4" max="4" width="25.5" style="126" customWidth="1"/>
    <col min="5" max="5" width="21" style="126" customWidth="1"/>
    <col min="6" max="6" width="9.1640625" style="126" customWidth="1"/>
    <col min="7" max="16384" width="12.5" style="126"/>
  </cols>
  <sheetData>
    <row r="1" spans="1:6" ht="19" x14ac:dyDescent="0.25">
      <c r="A1" s="127" t="s">
        <v>174</v>
      </c>
    </row>
    <row r="2" spans="1:6" ht="19" x14ac:dyDescent="0.25">
      <c r="A2" s="148" t="s">
        <v>175</v>
      </c>
    </row>
    <row r="3" spans="1:6" x14ac:dyDescent="0.2">
      <c r="A3" s="249"/>
      <c r="B3" s="249"/>
      <c r="C3" s="249"/>
      <c r="D3" s="249"/>
      <c r="E3" s="249"/>
      <c r="F3" s="249"/>
    </row>
    <row r="4" spans="1:6" ht="15" customHeight="1" x14ac:dyDescent="0.25">
      <c r="A4" s="127"/>
    </row>
    <row r="6" spans="1:6" ht="15" customHeight="1" x14ac:dyDescent="0.2">
      <c r="B6" s="128" t="s">
        <v>162</v>
      </c>
      <c r="C6" s="143"/>
      <c r="E6" s="250" t="s">
        <v>101</v>
      </c>
      <c r="F6" s="251"/>
    </row>
    <row r="7" spans="1:6" x14ac:dyDescent="0.2">
      <c r="B7" s="128"/>
      <c r="E7" s="129" t="s">
        <v>103</v>
      </c>
      <c r="F7" s="145">
        <f>+Worksheet!V23</f>
        <v>0.379</v>
      </c>
    </row>
    <row r="8" spans="1:6" x14ac:dyDescent="0.2">
      <c r="B8" s="128" t="s">
        <v>163</v>
      </c>
      <c r="C8" s="142"/>
      <c r="E8" s="130" t="s">
        <v>98</v>
      </c>
      <c r="F8" s="146">
        <f>+Worksheet!V24</f>
        <v>0.12</v>
      </c>
    </row>
    <row r="9" spans="1:6" x14ac:dyDescent="0.2">
      <c r="B9" s="128"/>
      <c r="C9" s="139"/>
      <c r="E9" s="140"/>
      <c r="F9" s="141"/>
    </row>
    <row r="10" spans="1:6" x14ac:dyDescent="0.2">
      <c r="A10" s="252" t="s">
        <v>172</v>
      </c>
      <c r="B10" s="252"/>
      <c r="C10" s="139"/>
      <c r="E10" s="140"/>
      <c r="F10" s="141"/>
    </row>
    <row r="11" spans="1:6" ht="15" customHeight="1" x14ac:dyDescent="0.2">
      <c r="A11" s="252"/>
      <c r="B11" s="252"/>
      <c r="C11" s="144">
        <f>C8/3*4</f>
        <v>0</v>
      </c>
      <c r="E11" s="140"/>
      <c r="F11" s="141"/>
    </row>
    <row r="13" spans="1:6" ht="15" customHeight="1" x14ac:dyDescent="0.2">
      <c r="A13" s="252" t="s">
        <v>164</v>
      </c>
      <c r="B13" s="252"/>
    </row>
    <row r="14" spans="1:6" x14ac:dyDescent="0.2">
      <c r="A14" s="252"/>
      <c r="B14" s="252"/>
      <c r="C14" s="142"/>
    </row>
    <row r="16" spans="1:6" x14ac:dyDescent="0.2">
      <c r="A16" s="253" t="s">
        <v>165</v>
      </c>
      <c r="B16" s="253"/>
      <c r="C16" s="147">
        <f>C14/4*3</f>
        <v>0</v>
      </c>
    </row>
    <row r="17" spans="1:4" x14ac:dyDescent="0.2">
      <c r="A17" s="253" t="s">
        <v>166</v>
      </c>
      <c r="B17" s="253"/>
      <c r="C17" s="147">
        <f>C14/4</f>
        <v>0</v>
      </c>
    </row>
    <row r="19" spans="1:4" x14ac:dyDescent="0.2">
      <c r="B19" s="128" t="s">
        <v>173</v>
      </c>
      <c r="C19" s="131" t="e">
        <f>C14/C11</f>
        <v>#DIV/0!</v>
      </c>
    </row>
    <row r="22" spans="1:4" ht="28" customHeight="1" x14ac:dyDescent="0.2">
      <c r="B22" s="132" t="s">
        <v>167</v>
      </c>
      <c r="C22" s="133"/>
      <c r="D22" s="134"/>
    </row>
    <row r="23" spans="1:4" x14ac:dyDescent="0.2">
      <c r="B23" s="149">
        <f>C16</f>
        <v>0</v>
      </c>
      <c r="C23" s="136" t="s">
        <v>168</v>
      </c>
      <c r="D23" s="137"/>
    </row>
    <row r="24" spans="1:4" x14ac:dyDescent="0.2">
      <c r="B24" s="149">
        <f>B23/3</f>
        <v>0</v>
      </c>
      <c r="C24" s="136" t="s">
        <v>169</v>
      </c>
      <c r="D24" s="137"/>
    </row>
    <row r="25" spans="1:4" x14ac:dyDescent="0.2">
      <c r="B25" s="149">
        <f>B23*0.1</f>
        <v>0</v>
      </c>
      <c r="C25" s="136" t="s">
        <v>177</v>
      </c>
      <c r="D25" s="137"/>
    </row>
    <row r="26" spans="1:4" x14ac:dyDescent="0.2">
      <c r="B26" s="149">
        <f>B23*F7</f>
        <v>0</v>
      </c>
      <c r="C26" s="136" t="s">
        <v>170</v>
      </c>
      <c r="D26" s="137"/>
    </row>
    <row r="27" spans="1:4" x14ac:dyDescent="0.2">
      <c r="B27" s="149">
        <f>B24*F8</f>
        <v>0</v>
      </c>
      <c r="C27" s="136" t="s">
        <v>178</v>
      </c>
      <c r="D27" s="137"/>
    </row>
    <row r="28" spans="1:4" x14ac:dyDescent="0.2">
      <c r="B28" s="149">
        <f>B25*F7</f>
        <v>0</v>
      </c>
      <c r="C28" s="136" t="s">
        <v>176</v>
      </c>
      <c r="D28" s="137"/>
    </row>
    <row r="29" spans="1:4" x14ac:dyDescent="0.2">
      <c r="B29" s="156">
        <f>SUM(B23:B28)</f>
        <v>0</v>
      </c>
      <c r="C29" s="151" t="s">
        <v>179</v>
      </c>
      <c r="D29" s="152"/>
    </row>
    <row r="30" spans="1:4" x14ac:dyDescent="0.2">
      <c r="B30" s="135">
        <f>B29*0.55</f>
        <v>0</v>
      </c>
      <c r="C30" s="136" t="s">
        <v>180</v>
      </c>
      <c r="D30" s="137"/>
    </row>
    <row r="31" spans="1:4" x14ac:dyDescent="0.2">
      <c r="B31" s="150">
        <f>SUM(B29:B30)</f>
        <v>0</v>
      </c>
      <c r="C31" s="151" t="s">
        <v>181</v>
      </c>
      <c r="D31" s="152"/>
    </row>
    <row r="32" spans="1:4" x14ac:dyDescent="0.2">
      <c r="B32" s="138"/>
      <c r="C32" s="136"/>
      <c r="D32" s="137"/>
    </row>
    <row r="33" spans="2:4" x14ac:dyDescent="0.2">
      <c r="B33" s="153">
        <f>SUM(B23:B24)</f>
        <v>0</v>
      </c>
      <c r="C33" s="154" t="s">
        <v>171</v>
      </c>
      <c r="D33" s="155"/>
    </row>
  </sheetData>
  <sheetProtection selectLockedCells="1"/>
  <mergeCells count="6">
    <mergeCell ref="A3:F3"/>
    <mergeCell ref="E6:F6"/>
    <mergeCell ref="A13:B14"/>
    <mergeCell ref="A16:B16"/>
    <mergeCell ref="A17:B17"/>
    <mergeCell ref="A10:B11"/>
  </mergeCells>
  <dataValidations count="1">
    <dataValidation type="decimal" allowBlank="1" showInputMessage="1" showErrorMessage="1" promptTitle="Benefits Rates" prompt="Enter the projected benefits rate for this salary component." sqref="F7:F11">
      <formula1>0</formula1>
      <formula2>1</formula2>
    </dataValidation>
  </dataValidations>
  <pageMargins left="0.75" right="0.75" top="1" bottom="1" header="0.5" footer="0.5"/>
  <pageSetup scale="82" orientation="portrait" horizontalDpi="1200" verticalDpi="1200" r:id="rId1"/>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Worksheets</vt:lpstr>
      </vt:variant>
      <vt:variant>
        <vt:i4>6</vt:i4>
      </vt:variant>
    </vt:vector>
  </HeadingPairs>
  <TitlesOfParts>
    <vt:vector size="6" baseType="lpstr">
      <vt:lpstr>Request</vt:lpstr>
      <vt:lpstr>Worksheet</vt:lpstr>
      <vt:lpstr>DropDown</vt:lpstr>
      <vt:lpstr>SalaryByMonthWorksheet</vt:lpstr>
      <vt:lpstr>CalculationTools</vt:lpstr>
      <vt:lpstr>Prelim-CostCalculation</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Farrelly, Kathy</dc:creator>
  <cp:lastModifiedBy>Microsoft Office User</cp:lastModifiedBy>
  <cp:lastPrinted>2015-02-13T00:47:24Z</cp:lastPrinted>
  <dcterms:created xsi:type="dcterms:W3CDTF">2013-02-19T22:49:01Z</dcterms:created>
  <dcterms:modified xsi:type="dcterms:W3CDTF">2017-03-08T23:52:36Z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_NewReviewCycle">
    <vt:lpwstr/>
  </property>
</Properties>
</file>